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floriangerlach/Downloads/"/>
    </mc:Choice>
  </mc:AlternateContent>
  <xr:revisionPtr revIDLastSave="0" documentId="8_{7427430A-ACB5-C945-AA84-74C39BFB0B98}" xr6:coauthVersionLast="47" xr6:coauthVersionMax="47" xr10:uidLastSave="{00000000-0000-0000-0000-000000000000}"/>
  <bookViews>
    <workbookView xWindow="-34560" yWindow="2040" windowWidth="34560" windowHeight="19560" tabRatio="500" activeTab="10" xr2:uid="{00000000-000D-0000-FFFF-FFFF00000000}"/>
  </bookViews>
  <sheets>
    <sheet name="Regelsätze" sheetId="1" r:id="rId1"/>
    <sheet name="1 Grundfall" sheetId="2" r:id="rId2"/>
    <sheet name="2 a) Paar" sheetId="3" r:id="rId3"/>
    <sheet name="2 b) Paar" sheetId="4" r:id="rId4"/>
    <sheet name="3 Einzelperson mit Kind" sheetId="5" r:id="rId5"/>
    <sheet name="Tabelle1" sheetId="21" r:id="rId6"/>
    <sheet name="4 a) Paar mit Kind" sheetId="6" r:id="rId7"/>
    <sheet name="4 b) Paar mit Kind" sheetId="7" r:id="rId8"/>
    <sheet name="5 Vermögen" sheetId="8" r:id="rId9"/>
    <sheet name="Antje und Susanne" sheetId="9" state="hidden" r:id="rId10"/>
    <sheet name="Antje und Susann" sheetId="11" r:id="rId11"/>
    <sheet name="Angelina u. Verwandtschaft" sheetId="12" r:id="rId12"/>
    <sheet name="Familie Alkazaz" sheetId="13" r:id="rId13"/>
    <sheet name="Familie Afraid" sheetId="20" r:id="rId14"/>
    <sheet name="Großvater Alkazaz I" sheetId="14" r:id="rId15"/>
    <sheet name="Großvater Alkazaz II" sheetId="15" r:id="rId16"/>
    <sheet name="Frau Kettlich und ihre Kinder" sheetId="16" r:id="rId17"/>
    <sheet name="Familie Al Iryani" sheetId="18" r:id="rId18"/>
    <sheet name="Alina und Kinder" sheetId="19" r:id="rId19"/>
    <sheet name="Frau  A" sheetId="10" r:id="rId20"/>
  </sheets>
  <definedNames>
    <definedName name="_xlnm._FilterDatabase" localSheetId="19" hidden="1">'Frau  A'!$B$6:$B$23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 i="11" l="1"/>
  <c r="C18" i="11"/>
  <c r="C17" i="11"/>
  <c r="D4" i="11"/>
  <c r="B3" i="3"/>
  <c r="G25" i="6"/>
  <c r="G24" i="6"/>
  <c r="B18" i="6"/>
  <c r="G26" i="6"/>
  <c r="G23" i="6"/>
  <c r="B17" i="6"/>
  <c r="B6" i="10"/>
  <c r="G22" i="20"/>
  <c r="H22" i="20"/>
  <c r="G20" i="20"/>
  <c r="H20" i="20"/>
  <c r="I18" i="20"/>
  <c r="C18" i="20"/>
  <c r="B18" i="20"/>
  <c r="B17" i="20"/>
  <c r="F10" i="20"/>
  <c r="E7" i="20"/>
  <c r="E10" i="20" s="1"/>
  <c r="F7" i="20"/>
  <c r="C6" i="20"/>
  <c r="D6" i="20"/>
  <c r="E6" i="20"/>
  <c r="F6" i="20"/>
  <c r="B6" i="20"/>
  <c r="F3" i="20"/>
  <c r="E3" i="20"/>
  <c r="D3" i="20"/>
  <c r="D7" i="20" s="1"/>
  <c r="D10" i="20" s="1"/>
  <c r="B3" i="20"/>
  <c r="C3" i="20" s="1"/>
  <c r="C7" i="20" s="1"/>
  <c r="C10" i="20" s="1"/>
  <c r="O24" i="18"/>
  <c r="C17" i="18"/>
  <c r="B17" i="18"/>
  <c r="B18" i="18" s="1"/>
  <c r="B6" i="18"/>
  <c r="E3" i="18"/>
  <c r="B3" i="11"/>
  <c r="B10" i="11" s="1"/>
  <c r="C3" i="11"/>
  <c r="C10" i="11" s="1"/>
  <c r="D3" i="11"/>
  <c r="E3" i="11"/>
  <c r="C7" i="11"/>
  <c r="D9" i="11"/>
  <c r="E9" i="11" s="1"/>
  <c r="B17" i="11"/>
  <c r="B18" i="11"/>
  <c r="F18" i="11" s="1"/>
  <c r="D18" i="11"/>
  <c r="E18" i="11"/>
  <c r="B6" i="13"/>
  <c r="B3" i="13"/>
  <c r="D7" i="11" l="1"/>
  <c r="B7" i="11"/>
  <c r="D10" i="11"/>
  <c r="B7" i="20"/>
  <c r="B10" i="20" s="1"/>
  <c r="E7" i="11"/>
  <c r="D8" i="7"/>
  <c r="H17" i="7"/>
  <c r="H18" i="7" s="1"/>
  <c r="E18" i="7"/>
  <c r="B17" i="16"/>
  <c r="B3" i="16"/>
  <c r="B5" i="16" s="1"/>
  <c r="C3" i="16"/>
  <c r="B17" i="12"/>
  <c r="E19" i="19"/>
  <c r="D19" i="19"/>
  <c r="C19" i="19"/>
  <c r="B19" i="19"/>
  <c r="C20" i="19"/>
  <c r="C10" i="19"/>
  <c r="C4" i="12"/>
  <c r="D7" i="19"/>
  <c r="B18" i="19"/>
  <c r="E16" i="19"/>
  <c r="B17" i="19"/>
  <c r="B6" i="19"/>
  <c r="B5" i="19"/>
  <c r="B3" i="19"/>
  <c r="E18" i="19"/>
  <c r="D9" i="19"/>
  <c r="E9" i="19" s="1"/>
  <c r="D6" i="19"/>
  <c r="D3" i="18"/>
  <c r="C16" i="18"/>
  <c r="C18" i="18" s="1"/>
  <c r="I18" i="18" s="1"/>
  <c r="D6" i="18"/>
  <c r="E9" i="18"/>
  <c r="D9" i="18"/>
  <c r="C3" i="18"/>
  <c r="B3" i="18"/>
  <c r="B10" i="18" s="1"/>
  <c r="H18" i="16"/>
  <c r="G18" i="16"/>
  <c r="F18" i="16"/>
  <c r="E18" i="16"/>
  <c r="D18" i="16"/>
  <c r="C18" i="16"/>
  <c r="B18" i="16"/>
  <c r="H10" i="16"/>
  <c r="G10" i="16"/>
  <c r="E9" i="16"/>
  <c r="D9" i="16"/>
  <c r="C9" i="16"/>
  <c r="H7" i="16"/>
  <c r="G7" i="16"/>
  <c r="E6" i="16"/>
  <c r="D6" i="16"/>
  <c r="C6" i="16"/>
  <c r="B6" i="16"/>
  <c r="E3" i="16"/>
  <c r="D3" i="16"/>
  <c r="H18" i="15"/>
  <c r="G18" i="15"/>
  <c r="F18" i="15"/>
  <c r="E18" i="15"/>
  <c r="C18" i="15"/>
  <c r="B17" i="15"/>
  <c r="B18" i="15" s="1"/>
  <c r="D18" i="15" s="1"/>
  <c r="H10" i="15"/>
  <c r="G10" i="15"/>
  <c r="F9" i="15"/>
  <c r="I9" i="15" s="1"/>
  <c r="H7" i="15"/>
  <c r="G7" i="15"/>
  <c r="B7" i="15"/>
  <c r="B6" i="15"/>
  <c r="C6" i="15" s="1"/>
  <c r="E6" i="15" s="1"/>
  <c r="F4" i="15"/>
  <c r="F10" i="15" s="1"/>
  <c r="E4" i="15"/>
  <c r="E5" i="15" s="1"/>
  <c r="C4" i="15"/>
  <c r="B4" i="15"/>
  <c r="B10" i="15" s="1"/>
  <c r="G17" i="14"/>
  <c r="F17" i="14"/>
  <c r="E17" i="14"/>
  <c r="D17" i="14"/>
  <c r="C17" i="14"/>
  <c r="B16" i="14"/>
  <c r="B17" i="14" s="1"/>
  <c r="H17" i="14" s="1"/>
  <c r="G9" i="14"/>
  <c r="F9" i="14"/>
  <c r="E8" i="14"/>
  <c r="H8" i="14" s="1"/>
  <c r="G6" i="14"/>
  <c r="F6" i="14"/>
  <c r="C5" i="14"/>
  <c r="B5" i="14"/>
  <c r="E3" i="14"/>
  <c r="E6" i="14" s="1"/>
  <c r="D3" i="14"/>
  <c r="C3" i="14"/>
  <c r="B3" i="14"/>
  <c r="B6" i="14" s="1"/>
  <c r="H18" i="13"/>
  <c r="G18" i="13"/>
  <c r="F18" i="13"/>
  <c r="E18" i="13"/>
  <c r="D18" i="13"/>
  <c r="C18" i="13"/>
  <c r="B17" i="13"/>
  <c r="B18" i="13" s="1"/>
  <c r="I18" i="13" s="1"/>
  <c r="H10" i="13"/>
  <c r="G10" i="13"/>
  <c r="F9" i="13"/>
  <c r="E9" i="13"/>
  <c r="D9" i="13"/>
  <c r="H7" i="13"/>
  <c r="G7" i="13"/>
  <c r="C6" i="13"/>
  <c r="F3" i="13"/>
  <c r="E3" i="13"/>
  <c r="D3" i="13"/>
  <c r="C3" i="13"/>
  <c r="B10" i="13"/>
  <c r="H18" i="12"/>
  <c r="C18" i="12"/>
  <c r="B12" i="12"/>
  <c r="C9" i="12"/>
  <c r="D9" i="12" s="1"/>
  <c r="C6" i="12"/>
  <c r="B6" i="12"/>
  <c r="H6" i="12" s="1"/>
  <c r="H4" i="12"/>
  <c r="H7" i="12" s="1"/>
  <c r="B4" i="12"/>
  <c r="D19" i="10"/>
  <c r="C19" i="10"/>
  <c r="B18" i="10"/>
  <c r="B19" i="10" s="1"/>
  <c r="E19" i="10" s="1"/>
  <c r="C10" i="10"/>
  <c r="D10" i="10" s="1"/>
  <c r="D6" i="10"/>
  <c r="D3" i="10"/>
  <c r="C3" i="10"/>
  <c r="B3" i="10"/>
  <c r="B5" i="10" s="1"/>
  <c r="E15" i="9"/>
  <c r="D15" i="9"/>
  <c r="C14" i="9"/>
  <c r="C12" i="9"/>
  <c r="C15" i="9" s="1"/>
  <c r="F15" i="9" s="1"/>
  <c r="E10" i="9"/>
  <c r="B9" i="9"/>
  <c r="E8" i="9"/>
  <c r="D8" i="9"/>
  <c r="C6" i="9"/>
  <c r="E5" i="9"/>
  <c r="D5" i="9"/>
  <c r="C5" i="9"/>
  <c r="C9" i="9" s="1"/>
  <c r="B5" i="9"/>
  <c r="B6" i="9" s="1"/>
  <c r="E3" i="9"/>
  <c r="E6" i="9" s="1"/>
  <c r="D3" i="9"/>
  <c r="D6" i="9" s="1"/>
  <c r="D15" i="8"/>
  <c r="D16" i="8" s="1"/>
  <c r="D14" i="8"/>
  <c r="B14" i="8"/>
  <c r="E12" i="8"/>
  <c r="D12" i="8"/>
  <c r="C12" i="8"/>
  <c r="B12" i="8"/>
  <c r="D6" i="8"/>
  <c r="C6" i="8"/>
  <c r="B6" i="8"/>
  <c r="B15" i="8" s="1"/>
  <c r="B16" i="8" s="1"/>
  <c r="C18" i="7"/>
  <c r="B18" i="7"/>
  <c r="B17" i="7"/>
  <c r="D9" i="7"/>
  <c r="B21" i="7" s="1"/>
  <c r="C21" i="7" s="1"/>
  <c r="B6" i="7"/>
  <c r="D6" i="7" s="1"/>
  <c r="D3" i="7"/>
  <c r="D7" i="7" s="1"/>
  <c r="C3" i="7"/>
  <c r="B3" i="7"/>
  <c r="B7" i="7" s="1"/>
  <c r="D18" i="6"/>
  <c r="C18" i="6"/>
  <c r="E9" i="6"/>
  <c r="C6" i="6"/>
  <c r="B6" i="6"/>
  <c r="D6" i="6" s="1"/>
  <c r="D3" i="6"/>
  <c r="D7" i="6" s="1"/>
  <c r="C3" i="6"/>
  <c r="C10" i="6" s="1"/>
  <c r="B3" i="6"/>
  <c r="B7" i="6" s="1"/>
  <c r="C18" i="5"/>
  <c r="B17" i="5"/>
  <c r="B18" i="5" s="1"/>
  <c r="D18" i="5" s="1"/>
  <c r="C9" i="5"/>
  <c r="C6" i="5"/>
  <c r="C3" i="5"/>
  <c r="C10" i="5" s="1"/>
  <c r="B3" i="5"/>
  <c r="C16" i="4"/>
  <c r="C17" i="4" s="1"/>
  <c r="B16" i="4"/>
  <c r="B17" i="4" s="1"/>
  <c r="D8" i="4"/>
  <c r="C5" i="4"/>
  <c r="C3" i="4"/>
  <c r="C9" i="4" s="1"/>
  <c r="B3" i="4"/>
  <c r="B6" i="4" s="1"/>
  <c r="C17" i="3"/>
  <c r="B16" i="3"/>
  <c r="B17" i="3" s="1"/>
  <c r="D17" i="3" s="1"/>
  <c r="D8" i="3"/>
  <c r="C5" i="3"/>
  <c r="C3" i="3"/>
  <c r="C9" i="3" s="1"/>
  <c r="B6" i="3"/>
  <c r="B17" i="2"/>
  <c r="B15" i="2"/>
  <c r="B3" i="2"/>
  <c r="B6" i="2" s="1"/>
  <c r="C10" i="12" l="1"/>
  <c r="I9" i="18"/>
  <c r="E9" i="9"/>
  <c r="D10" i="7"/>
  <c r="F8" i="9"/>
  <c r="B10" i="6"/>
  <c r="E10" i="11"/>
  <c r="F10" i="11" s="1"/>
  <c r="B11" i="11" s="1"/>
  <c r="B19" i="11" s="1"/>
  <c r="B11" i="20"/>
  <c r="B19" i="20" s="1"/>
  <c r="I10" i="20"/>
  <c r="E9" i="7"/>
  <c r="B9" i="2"/>
  <c r="B18" i="2" s="1"/>
  <c r="B20" i="2" s="1"/>
  <c r="D9" i="9"/>
  <c r="I9" i="13"/>
  <c r="D6" i="13"/>
  <c r="F6" i="13" s="1"/>
  <c r="C6" i="10"/>
  <c r="B7" i="10"/>
  <c r="F7" i="15"/>
  <c r="B9" i="14"/>
  <c r="C6" i="14"/>
  <c r="C7" i="6"/>
  <c r="E7" i="6" s="1"/>
  <c r="I18" i="16"/>
  <c r="C7" i="16"/>
  <c r="C10" i="16" s="1"/>
  <c r="E7" i="16"/>
  <c r="E10" i="16" s="1"/>
  <c r="B7" i="16"/>
  <c r="B10" i="16" s="1"/>
  <c r="C7" i="12"/>
  <c r="D10" i="19"/>
  <c r="B10" i="19"/>
  <c r="B7" i="19"/>
  <c r="C6" i="19"/>
  <c r="B7" i="18"/>
  <c r="D7" i="18"/>
  <c r="D10" i="18" s="1"/>
  <c r="C6" i="18"/>
  <c r="C10" i="15"/>
  <c r="C10" i="13"/>
  <c r="C7" i="13"/>
  <c r="E6" i="13"/>
  <c r="E10" i="13" s="1"/>
  <c r="F10" i="13"/>
  <c r="F7" i="13"/>
  <c r="E18" i="14"/>
  <c r="F6" i="9"/>
  <c r="C7" i="9" s="1"/>
  <c r="C16" i="9" s="1"/>
  <c r="C17" i="9" s="1"/>
  <c r="C7" i="7"/>
  <c r="E7" i="7" s="1"/>
  <c r="D6" i="14"/>
  <c r="H6" i="14" s="1"/>
  <c r="D17" i="4"/>
  <c r="C9" i="14"/>
  <c r="D5" i="14"/>
  <c r="D9" i="14"/>
  <c r="C7" i="15"/>
  <c r="D7" i="15" s="1"/>
  <c r="E10" i="15"/>
  <c r="B10" i="7"/>
  <c r="E10" i="7" s="1"/>
  <c r="B4" i="5"/>
  <c r="B10" i="5" s="1"/>
  <c r="D7" i="10"/>
  <c r="D11" i="10" s="1"/>
  <c r="H10" i="12"/>
  <c r="H20" i="12" s="1"/>
  <c r="H22" i="12" s="1"/>
  <c r="E9" i="14"/>
  <c r="D7" i="16"/>
  <c r="D10" i="16" s="1"/>
  <c r="C6" i="7"/>
  <c r="E7" i="15"/>
  <c r="C10" i="7"/>
  <c r="B9" i="3"/>
  <c r="B9" i="4"/>
  <c r="C7" i="10"/>
  <c r="C11" i="10" s="1"/>
  <c r="B5" i="12"/>
  <c r="B7" i="12" s="1"/>
  <c r="D7" i="12" s="1"/>
  <c r="C6" i="3"/>
  <c r="D6" i="3" s="1"/>
  <c r="C6" i="4"/>
  <c r="D6" i="4" s="1"/>
  <c r="D10" i="6"/>
  <c r="E10" i="6" s="1"/>
  <c r="C7" i="5"/>
  <c r="B11" i="10"/>
  <c r="B13" i="12"/>
  <c r="B18" i="12" s="1"/>
  <c r="D18" i="12" s="1"/>
  <c r="B7" i="13"/>
  <c r="D7" i="13"/>
  <c r="E7" i="13"/>
  <c r="B10" i="12" l="1"/>
  <c r="F9" i="9"/>
  <c r="D11" i="20"/>
  <c r="D19" i="20" s="1"/>
  <c r="D20" i="20" s="1"/>
  <c r="D22" i="20" s="1"/>
  <c r="C11" i="20"/>
  <c r="C19" i="20" s="1"/>
  <c r="C20" i="20" s="1"/>
  <c r="C22" i="20" s="1"/>
  <c r="F11" i="20"/>
  <c r="F19" i="20" s="1"/>
  <c r="F20" i="20" s="1"/>
  <c r="F22" i="20" s="1"/>
  <c r="E11" i="20"/>
  <c r="E19" i="20" s="1"/>
  <c r="E20" i="20" s="1"/>
  <c r="E22" i="20" s="1"/>
  <c r="D11" i="11"/>
  <c r="D19" i="11" s="1"/>
  <c r="D20" i="11" s="1"/>
  <c r="D22" i="11" s="1"/>
  <c r="E11" i="11"/>
  <c r="E19" i="11" s="1"/>
  <c r="E20" i="11" s="1"/>
  <c r="E22" i="11" s="1"/>
  <c r="B20" i="20"/>
  <c r="B22" i="20" s="1"/>
  <c r="I7" i="15"/>
  <c r="E7" i="9"/>
  <c r="E16" i="9" s="1"/>
  <c r="E17" i="9" s="1"/>
  <c r="C11" i="11"/>
  <c r="C19" i="11" s="1"/>
  <c r="C20" i="11" s="1"/>
  <c r="C22" i="11" s="1"/>
  <c r="B20" i="11"/>
  <c r="B22" i="11" s="1"/>
  <c r="D10" i="13"/>
  <c r="E7" i="10"/>
  <c r="H9" i="14"/>
  <c r="G10" i="14" s="1"/>
  <c r="G18" i="14" s="1"/>
  <c r="G19" i="14" s="1"/>
  <c r="G21" i="14" s="1"/>
  <c r="I10" i="16"/>
  <c r="G11" i="16" s="1"/>
  <c r="G19" i="16" s="1"/>
  <c r="G20" i="16" s="1"/>
  <c r="G22" i="16" s="1"/>
  <c r="I7" i="16"/>
  <c r="C7" i="19"/>
  <c r="E6" i="18"/>
  <c r="C7" i="18"/>
  <c r="C10" i="18"/>
  <c r="B11" i="6"/>
  <c r="C11" i="6"/>
  <c r="D10" i="5"/>
  <c r="C11" i="5" s="1"/>
  <c r="C19" i="5" s="1"/>
  <c r="C20" i="5" s="1"/>
  <c r="C22" i="5" s="1"/>
  <c r="I10" i="15"/>
  <c r="E11" i="10"/>
  <c r="C12" i="10" s="1"/>
  <c r="B7" i="5"/>
  <c r="D7" i="5" s="1"/>
  <c r="D11" i="6"/>
  <c r="D9" i="3"/>
  <c r="C10" i="3" s="1"/>
  <c r="C18" i="3" s="1"/>
  <c r="C19" i="3" s="1"/>
  <c r="C21" i="3" s="1"/>
  <c r="D10" i="12"/>
  <c r="C11" i="12" s="1"/>
  <c r="C19" i="12" s="1"/>
  <c r="C20" i="12" s="1"/>
  <c r="C22" i="12" s="1"/>
  <c r="I10" i="13"/>
  <c r="E11" i="13" s="1"/>
  <c r="E19" i="13" s="1"/>
  <c r="E20" i="13" s="1"/>
  <c r="E22" i="13" s="1"/>
  <c r="B7" i="9"/>
  <c r="I7" i="13"/>
  <c r="E19" i="14"/>
  <c r="E21" i="14" s="1"/>
  <c r="D9" i="4"/>
  <c r="C10" i="4" s="1"/>
  <c r="C18" i="4" s="1"/>
  <c r="C19" i="4" s="1"/>
  <c r="C21" i="4" s="1"/>
  <c r="D7" i="9"/>
  <c r="D16" i="9" s="1"/>
  <c r="D17" i="9" s="1"/>
  <c r="D10" i="15"/>
  <c r="B11" i="15" s="1"/>
  <c r="B19" i="15" s="1"/>
  <c r="I19" i="20" l="1"/>
  <c r="I20" i="20" s="1"/>
  <c r="I22" i="20" s="1"/>
  <c r="B11" i="5"/>
  <c r="D10" i="14"/>
  <c r="D18" i="14" s="1"/>
  <c r="D19" i="14" s="1"/>
  <c r="D21" i="14" s="1"/>
  <c r="F11" i="11"/>
  <c r="B10" i="14"/>
  <c r="F10" i="14"/>
  <c r="F18" i="14" s="1"/>
  <c r="F19" i="14" s="1"/>
  <c r="F21" i="14" s="1"/>
  <c r="C10" i="14"/>
  <c r="C18" i="14" s="1"/>
  <c r="C19" i="14" s="1"/>
  <c r="C21" i="14" s="1"/>
  <c r="F19" i="11"/>
  <c r="B12" i="10"/>
  <c r="B20" i="10" s="1"/>
  <c r="C20" i="10"/>
  <c r="C21" i="10" s="1"/>
  <c r="C23" i="10" s="1"/>
  <c r="B11" i="7"/>
  <c r="B19" i="7" s="1"/>
  <c r="C19" i="7" s="1"/>
  <c r="C11" i="15"/>
  <c r="C19" i="15" s="1"/>
  <c r="C20" i="15" s="1"/>
  <c r="C22" i="15" s="1"/>
  <c r="F11" i="16"/>
  <c r="F19" i="16" s="1"/>
  <c r="F20" i="16" s="1"/>
  <c r="F22" i="16" s="1"/>
  <c r="B11" i="16"/>
  <c r="B19" i="16" s="1"/>
  <c r="H11" i="16"/>
  <c r="H19" i="16" s="1"/>
  <c r="H20" i="16" s="1"/>
  <c r="H22" i="16" s="1"/>
  <c r="D11" i="16"/>
  <c r="D19" i="16" s="1"/>
  <c r="D20" i="16" s="1"/>
  <c r="D22" i="16" s="1"/>
  <c r="C11" i="16"/>
  <c r="C19" i="16" s="1"/>
  <c r="C20" i="16" s="1"/>
  <c r="C22" i="16" s="1"/>
  <c r="E11" i="16"/>
  <c r="E19" i="16" s="1"/>
  <c r="E20" i="16" s="1"/>
  <c r="E22" i="16" s="1"/>
  <c r="B11" i="12"/>
  <c r="D11" i="12" s="1"/>
  <c r="E7" i="19"/>
  <c r="E10" i="19"/>
  <c r="E7" i="18"/>
  <c r="H11" i="15"/>
  <c r="H19" i="15" s="1"/>
  <c r="H20" i="15" s="1"/>
  <c r="H22" i="15" s="1"/>
  <c r="F11" i="15"/>
  <c r="F19" i="15" s="1"/>
  <c r="F20" i="15" s="1"/>
  <c r="F22" i="15" s="1"/>
  <c r="G11" i="15"/>
  <c r="G19" i="15" s="1"/>
  <c r="G20" i="15" s="1"/>
  <c r="G22" i="15" s="1"/>
  <c r="D12" i="10"/>
  <c r="G11" i="13"/>
  <c r="G19" i="13" s="1"/>
  <c r="G20" i="13" s="1"/>
  <c r="G22" i="13" s="1"/>
  <c r="B11" i="13"/>
  <c r="H11" i="13"/>
  <c r="H19" i="13" s="1"/>
  <c r="H20" i="13" s="1"/>
  <c r="H22" i="13" s="1"/>
  <c r="D11" i="13"/>
  <c r="D19" i="13" s="1"/>
  <c r="D20" i="13" s="1"/>
  <c r="D22" i="13" s="1"/>
  <c r="B10" i="3"/>
  <c r="E11" i="6"/>
  <c r="C11" i="13"/>
  <c r="C19" i="13" s="1"/>
  <c r="C20" i="13" s="1"/>
  <c r="C22" i="13" s="1"/>
  <c r="F7" i="9"/>
  <c r="B16" i="9"/>
  <c r="E11" i="15"/>
  <c r="E19" i="15" s="1"/>
  <c r="E20" i="15" s="1"/>
  <c r="E22" i="15" s="1"/>
  <c r="D11" i="5"/>
  <c r="B19" i="5"/>
  <c r="B20" i="15"/>
  <c r="B22" i="15" s="1"/>
  <c r="C11" i="7"/>
  <c r="B18" i="14"/>
  <c r="B10" i="4"/>
  <c r="F11" i="13"/>
  <c r="F19" i="13" s="1"/>
  <c r="F20" i="13" s="1"/>
  <c r="F22" i="13" s="1"/>
  <c r="B20" i="7" l="1"/>
  <c r="B22" i="7" s="1"/>
  <c r="H10" i="14"/>
  <c r="C20" i="7"/>
  <c r="C22" i="7" s="1"/>
  <c r="D20" i="10"/>
  <c r="D21" i="10" s="1"/>
  <c r="D23" i="10" s="1"/>
  <c r="I7" i="18"/>
  <c r="E10" i="18"/>
  <c r="E11" i="7"/>
  <c r="D11" i="19"/>
  <c r="C11" i="19"/>
  <c r="B19" i="12"/>
  <c r="B20" i="12" s="1"/>
  <c r="B22" i="12" s="1"/>
  <c r="I11" i="16"/>
  <c r="B11" i="19"/>
  <c r="I11" i="13"/>
  <c r="B19" i="13"/>
  <c r="E12" i="10"/>
  <c r="D19" i="5"/>
  <c r="B20" i="5"/>
  <c r="B22" i="5" s="1"/>
  <c r="D10" i="3"/>
  <c r="B18" i="3"/>
  <c r="I19" i="16"/>
  <c r="B20" i="16"/>
  <c r="B22" i="16" s="1"/>
  <c r="F16" i="9"/>
  <c r="B17" i="9"/>
  <c r="F17" i="9" s="1"/>
  <c r="D10" i="4"/>
  <c r="B18" i="4"/>
  <c r="H18" i="14"/>
  <c r="B19" i="14"/>
  <c r="B21" i="14" s="1"/>
  <c r="H21" i="14" s="1"/>
  <c r="B21" i="10"/>
  <c r="B23" i="10" s="1"/>
  <c r="I22" i="15"/>
  <c r="I19" i="15"/>
  <c r="I10" i="18" l="1"/>
  <c r="B11" i="18" s="1"/>
  <c r="B19" i="18" s="1"/>
  <c r="D19" i="12"/>
  <c r="E20" i="10"/>
  <c r="D11" i="18"/>
  <c r="D19" i="18" s="1"/>
  <c r="E11" i="18"/>
  <c r="E19" i="18" s="1"/>
  <c r="E22" i="18" s="1"/>
  <c r="C11" i="18"/>
  <c r="C19" i="18" s="1"/>
  <c r="B20" i="19"/>
  <c r="E11" i="19"/>
  <c r="D18" i="4"/>
  <c r="B19" i="4"/>
  <c r="B21" i="4" s="1"/>
  <c r="I19" i="13"/>
  <c r="B20" i="13"/>
  <c r="B22" i="13" s="1"/>
  <c r="D18" i="3"/>
  <c r="B19" i="3"/>
  <c r="B21" i="3" s="1"/>
  <c r="I11" i="18" l="1"/>
  <c r="C22" i="18"/>
  <c r="C20" i="18"/>
  <c r="D22" i="18"/>
  <c r="D20" i="18"/>
  <c r="E20" i="18"/>
  <c r="B22" i="18"/>
  <c r="B20" i="18"/>
  <c r="B22" i="19"/>
  <c r="I19" i="18"/>
  <c r="I20" i="18" l="1"/>
  <c r="C22" i="19"/>
  <c r="D22" i="19"/>
  <c r="D20" i="19"/>
  <c r="E18" i="6"/>
  <c r="B19" i="6" s="1"/>
  <c r="B20" i="6" l="1"/>
  <c r="B22" i="6" s="1"/>
  <c r="D19" i="6"/>
  <c r="D20" i="6" s="1"/>
  <c r="D22" i="6" s="1"/>
  <c r="C19" i="6"/>
  <c r="C20" i="6" s="1"/>
  <c r="C22" i="6" s="1"/>
  <c r="E19" i="6" l="1"/>
</calcChain>
</file>

<file path=xl/sharedStrings.xml><?xml version="1.0" encoding="utf-8"?>
<sst xmlns="http://schemas.openxmlformats.org/spreadsheetml/2006/main" count="613" uniqueCount="127">
  <si>
    <t>§</t>
  </si>
  <si>
    <t>€</t>
  </si>
  <si>
    <r>
      <rPr>
        <b/>
        <sz val="11"/>
        <color theme="1"/>
        <rFont val="Calibri"/>
        <family val="2"/>
        <charset val="1"/>
      </rPr>
      <t xml:space="preserve">Regelbedarfsstufe 1 </t>
    </r>
    <r>
      <rPr>
        <sz val="11"/>
        <color theme="1"/>
        <rFont val="Calibri"/>
        <family val="2"/>
        <charset val="1"/>
      </rPr>
      <t>(ALG II Eckregelsatz alleinstehend/alleinerziehend):</t>
    </r>
  </si>
  <si>
    <t>20 I</t>
  </si>
  <si>
    <r>
      <rPr>
        <b/>
        <sz val="11"/>
        <color theme="1"/>
        <rFont val="Calibri"/>
        <family val="2"/>
        <charset val="1"/>
      </rPr>
      <t>Regelbedarfsstufe 2</t>
    </r>
    <r>
      <rPr>
        <sz val="11"/>
        <color theme="1"/>
        <rFont val="Calibri"/>
        <family val="2"/>
        <charset val="1"/>
      </rPr>
      <t xml:space="preserve"> (Partner in einer Bedarfsgemeinschaft):</t>
    </r>
  </si>
  <si>
    <t>20 IV</t>
  </si>
  <si>
    <t>20 III</t>
  </si>
  <si>
    <r>
      <rPr>
        <b/>
        <sz val="11"/>
        <color theme="1"/>
        <rFont val="Calibri"/>
        <family val="2"/>
        <charset val="1"/>
      </rPr>
      <t>Regelbedarfsstufe 4</t>
    </r>
    <r>
      <rPr>
        <sz val="11"/>
        <color theme="1"/>
        <rFont val="Calibri"/>
        <family val="2"/>
        <charset val="1"/>
      </rPr>
      <t xml:space="preserve"> (Kinder und Jugendliche zwischen 14- und 17</t>
    </r>
  </si>
  <si>
    <t>20 II S.2 Nr.1</t>
  </si>
  <si>
    <r>
      <rPr>
        <b/>
        <sz val="11"/>
        <color theme="1"/>
        <rFont val="Calibri"/>
        <family val="2"/>
        <charset val="1"/>
      </rPr>
      <t>Regelbedarfsstufe 5</t>
    </r>
    <r>
      <rPr>
        <sz val="11"/>
        <color theme="1"/>
        <rFont val="Calibri"/>
        <family val="2"/>
        <charset val="1"/>
      </rPr>
      <t xml:space="preserve"> (Sozialgeld für Kinder Sozialgeld für Kinder von 6 bis 13 Jahren): </t>
    </r>
  </si>
  <si>
    <t>23 Nr.1 2. Alt.</t>
  </si>
  <si>
    <r>
      <rPr>
        <b/>
        <sz val="11"/>
        <color theme="1"/>
        <rFont val="Calibri"/>
        <family val="2"/>
        <charset val="1"/>
      </rPr>
      <t>Regelbedarfsstufe 6</t>
    </r>
    <r>
      <rPr>
        <sz val="11"/>
        <color theme="1"/>
        <rFont val="Calibri"/>
        <family val="2"/>
        <charset val="1"/>
      </rPr>
      <t xml:space="preserve"> (Sozialgeld für Kinder unter 6 Jahre)</t>
    </r>
  </si>
  <si>
    <t>23 Nr.1 1. Alt.</t>
  </si>
  <si>
    <t>Kindergeld</t>
  </si>
  <si>
    <t>1. u. 2 Kind</t>
  </si>
  <si>
    <t>3. Kind</t>
  </si>
  <si>
    <t>ab 4 Kinder</t>
  </si>
  <si>
    <t>Kindersofortzuschlag</t>
  </si>
  <si>
    <t>Person 1</t>
  </si>
  <si>
    <t>Erklärung / Rechtsgrundlage</t>
  </si>
  <si>
    <t>Frau L</t>
  </si>
  <si>
    <t>Bedarf</t>
  </si>
  <si>
    <t>Regelbedarf</t>
  </si>
  <si>
    <t>Mehrbedarf</t>
  </si>
  <si>
    <t>KdU</t>
  </si>
  <si>
    <t>Summe</t>
  </si>
  <si>
    <t>Einkommen kindbezogen</t>
  </si>
  <si>
    <t>Kindergeld kindbezogen</t>
  </si>
  <si>
    <t>Zwischensumme</t>
  </si>
  <si>
    <t>Einkommen</t>
  </si>
  <si>
    <t>Erwerbseinkommen brutto</t>
  </si>
  <si>
    <t>Erwerbseinkommen netto</t>
  </si>
  <si>
    <t>sonstiges Einkommen</t>
  </si>
  <si>
    <t>Absetzbetrag 11b II iVm Bürgergeld-V</t>
  </si>
  <si>
    <t>Absetzbetrag  11b II</t>
  </si>
  <si>
    <t>Absetzbetrag  11b III</t>
  </si>
  <si>
    <t>Einkommensverteilung</t>
  </si>
  <si>
    <t>Zwischenergebnis nach Einkommensverteilung</t>
  </si>
  <si>
    <t>Leistung</t>
  </si>
  <si>
    <t>Kindergeld elternbzeogen</t>
  </si>
  <si>
    <t>Leistungsanspruch</t>
  </si>
  <si>
    <t>Person 2</t>
  </si>
  <si>
    <t>Gesamt</t>
  </si>
  <si>
    <t>Partner L</t>
  </si>
  <si>
    <t>Bedarfsanteil</t>
  </si>
  <si>
    <t>Kind 5 Jahre</t>
  </si>
  <si>
    <t>Sofortzuschlag § 72</t>
  </si>
  <si>
    <t>Person 3</t>
  </si>
  <si>
    <t>Kind 7 Jahre</t>
  </si>
  <si>
    <t>Zwischenergebnis nach Einkommens verteilung</t>
  </si>
  <si>
    <t>Person 4</t>
  </si>
  <si>
    <t>Herr L</t>
  </si>
  <si>
    <t>Kind L</t>
  </si>
  <si>
    <t>Vermögen</t>
  </si>
  <si>
    <t>Übreschuss aus PKW Fiat</t>
  </si>
  <si>
    <t>Barvermögen Konto</t>
  </si>
  <si>
    <t>Downhill Bike</t>
  </si>
  <si>
    <t>Freibeträge</t>
  </si>
  <si>
    <t>Grundfreibetrag</t>
  </si>
  <si>
    <t>Grundfreibetrag Kind</t>
  </si>
  <si>
    <t>Altersvorsorge I</t>
  </si>
  <si>
    <t>Altersvorsorge II</t>
  </si>
  <si>
    <t>Summe Freibeträge</t>
  </si>
  <si>
    <t>Summe Vermögen</t>
  </si>
  <si>
    <t>Rest Freibeträge</t>
  </si>
  <si>
    <t>Antje</t>
  </si>
  <si>
    <t>Susanne</t>
  </si>
  <si>
    <t>Robert</t>
  </si>
  <si>
    <t>Lina</t>
  </si>
  <si>
    <t>Zwischen-summe</t>
  </si>
  <si>
    <t>Absetzbetrag 11b II iVm AlG II-VO</t>
  </si>
  <si>
    <t>Verteilung Einkommen</t>
  </si>
  <si>
    <t>Ergebnis</t>
  </si>
  <si>
    <t>∂</t>
  </si>
  <si>
    <t>Frau A</t>
  </si>
  <si>
    <t>Anton 10</t>
  </si>
  <si>
    <t>Berta 6</t>
  </si>
  <si>
    <t>Bedarfsgemeinschaft Verronica und Yegor</t>
  </si>
  <si>
    <t>Bedarfsgemeinschaft Angelina</t>
  </si>
  <si>
    <t>Veronica</t>
  </si>
  <si>
    <t>Yegor</t>
  </si>
  <si>
    <t>Angelina</t>
  </si>
  <si>
    <t>Halbwaisenrente</t>
  </si>
  <si>
    <t>Person 5</t>
  </si>
  <si>
    <t>Person 6</t>
  </si>
  <si>
    <t>Person 7</t>
  </si>
  <si>
    <t>Herr A</t>
  </si>
  <si>
    <t>Diaa 22</t>
  </si>
  <si>
    <t>Hala 11</t>
  </si>
  <si>
    <t>Abdulah 8</t>
  </si>
  <si>
    <t>Frau A 51</t>
  </si>
  <si>
    <t>Herr A 50</t>
  </si>
  <si>
    <t>Hala 24</t>
  </si>
  <si>
    <t>Abdulah 7</t>
  </si>
  <si>
    <t>Bedarfsgemeinschaft I</t>
  </si>
  <si>
    <t>Bedarfsgemeinschaft II</t>
  </si>
  <si>
    <t>Jasmin K</t>
  </si>
  <si>
    <t>Savina 17</t>
  </si>
  <si>
    <t>Tim 16</t>
  </si>
  <si>
    <t>Jonas 9</t>
  </si>
  <si>
    <t>Frau I</t>
  </si>
  <si>
    <t>Zarina 10</t>
  </si>
  <si>
    <t>Cala 14</t>
  </si>
  <si>
    <t>Kindersorfortzuschlag</t>
  </si>
  <si>
    <t>Herr I</t>
  </si>
  <si>
    <r>
      <t>Regelbedarfsstufe 3</t>
    </r>
    <r>
      <rPr>
        <sz val="11"/>
        <color theme="1"/>
        <rFont val="Calibri"/>
        <family val="2"/>
        <charset val="1"/>
      </rPr>
      <t xml:space="preserve"> (Volljährige 18 - 24 jährige):</t>
    </r>
  </si>
  <si>
    <t>Alina</t>
  </si>
  <si>
    <t>Maximilian</t>
  </si>
  <si>
    <t>Sophie</t>
  </si>
  <si>
    <t>Regelbedarf + Kindersofortzuschlag</t>
  </si>
  <si>
    <t>Regelbedarfsstufe 1 (ALG II Eckregelsatz alleinstehend/alleinerziehend):	20 I	502
Regelbedarfsstufe 2 (Partner in einer Bedarfsgemeinschaft):	20 IV	451
Regelbedarfsstufe 3 (Volljährige 18 - 24 jährige):	20 III	402
Regelbedarfsstufe 4 (Kinder und Jugendliche zwischen 14- und 17	20 II S.2 Nr.1	420
Regelbedarfsstufe 5 (Sozialgeld für Kinder Sozialgeld für Kinder von 6 bis 13 Jahren): 	23 Nr.1 2. Alt.	348
Regelbedarfsstufe 6 (Sozialgeld für Kinder unter 6 Jahre)	23 Nr.1 1. Alt.	318</t>
  </si>
  <si>
    <t>Sofortzuschlag</t>
  </si>
  <si>
    <t>KiGe</t>
  </si>
  <si>
    <t>UVG 2023</t>
  </si>
  <si>
    <t>Nebenrechnung Einkommen Kind</t>
  </si>
  <si>
    <t>Unterhaltsvorschuss</t>
  </si>
  <si>
    <t xml:space="preserve">Mehrbedarf., § 21 </t>
  </si>
  <si>
    <t>bereinigtes Einkommen</t>
  </si>
  <si>
    <t>Hashem 4</t>
  </si>
  <si>
    <t>Shirin 8</t>
  </si>
  <si>
    <t>Dina 12</t>
  </si>
  <si>
    <t>Zwischenergebnis</t>
  </si>
  <si>
    <t xml:space="preserve">bereinigtes Gesamteinkommen </t>
  </si>
  <si>
    <t>Kontrollsumme</t>
  </si>
  <si>
    <t>Regelbedarfsstufen ab 2025</t>
  </si>
  <si>
    <t>Absetzbetrag  11b II 1</t>
  </si>
  <si>
    <t>Gesamteinkommen/ -bedarf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</si>
</sst>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_(\€* \(#,##0.00\);_(\€* \-??_);_(@_)"/>
    <numFmt numFmtId="165" formatCode="_-* #,##0.00\ [$€-407]_-;\-* #,##0.00\ [$€-407]_-;_-* \-??\ [$€-407]_-;_-@_-"/>
    <numFmt numFmtId="166" formatCode="0\ %"/>
    <numFmt numFmtId="167" formatCode="_-* #,##0.00\ _€_-;\-* #,##0.00\ _€_-;_-* &quot;-&quot;??\ _€_-;_-@_-"/>
    <numFmt numFmtId="168" formatCode="_-* #,##0.00\ [$€-407]_-;\-* #,##0.00\ [$€-407]_-;_-* &quot;-&quot;??\ [$€-407]_-;_-@_-"/>
  </numFmts>
  <fonts count="13" x14ac:knownFonts="1">
    <font>
      <sz val="11"/>
      <color theme="1"/>
      <name val="Calibri"/>
      <family val="2"/>
      <charset val="1"/>
    </font>
    <font>
      <b/>
      <sz val="11"/>
      <color theme="1"/>
      <name val="Calibri"/>
      <family val="2"/>
      <charset val="1"/>
    </font>
    <font>
      <sz val="11"/>
      <name val="Calibri"/>
      <family val="2"/>
      <charset val="1"/>
    </font>
    <font>
      <b/>
      <sz val="20"/>
      <color rgb="FF111314"/>
      <name val="Arial"/>
      <family val="2"/>
      <charset val="1"/>
    </font>
    <font>
      <sz val="20"/>
      <color rgb="FF111314"/>
      <name val="Arial"/>
      <family val="2"/>
      <charset val="1"/>
    </font>
    <font>
      <sz val="11"/>
      <color rgb="FFFF0000"/>
      <name val="Calibri"/>
      <family val="2"/>
      <charset val="1"/>
    </font>
    <font>
      <sz val="11"/>
      <color rgb="FF00B050"/>
      <name val="Calibri"/>
      <family val="2"/>
      <charset val="1"/>
    </font>
    <font>
      <sz val="11"/>
      <color theme="9"/>
      <name val="Calibri"/>
      <family val="2"/>
      <charset val="1"/>
    </font>
    <font>
      <b/>
      <sz val="11"/>
      <color theme="9"/>
      <name val="Calibri"/>
      <family val="2"/>
      <charset val="1"/>
    </font>
    <font>
      <b/>
      <sz val="11"/>
      <color rgb="FF000000"/>
      <name val="Calibri"/>
      <family val="2"/>
      <charset val="1"/>
    </font>
    <font>
      <sz val="11"/>
      <color rgb="FF000000"/>
      <name val="Calibri"/>
      <family val="2"/>
      <charset val="1"/>
    </font>
    <font>
      <sz val="11"/>
      <color theme="1"/>
      <name val="Calibri"/>
      <family val="2"/>
      <charset val="1"/>
    </font>
    <font>
      <sz val="11"/>
      <color theme="1"/>
      <name val="Calibri"/>
      <family val="2"/>
    </font>
  </fonts>
  <fills count="23">
    <fill>
      <patternFill patternType="none"/>
    </fill>
    <fill>
      <patternFill patternType="gray125"/>
    </fill>
    <fill>
      <patternFill patternType="solid">
        <fgColor theme="4" tint="0.59987182226020086"/>
        <bgColor rgb="FF99CCFF"/>
      </patternFill>
    </fill>
    <fill>
      <patternFill patternType="solid">
        <fgColor theme="2"/>
        <bgColor rgb="FFE2F0D9"/>
      </patternFill>
    </fill>
    <fill>
      <patternFill patternType="solid">
        <fgColor theme="0"/>
        <bgColor rgb="FFFFF2CC"/>
      </patternFill>
    </fill>
    <fill>
      <patternFill patternType="solid">
        <fgColor rgb="FFDDDDDD"/>
        <bgColor rgb="FFE7E6E6"/>
      </patternFill>
    </fill>
    <fill>
      <patternFill patternType="solid">
        <fgColor theme="9" tint="0.79989013336588644"/>
        <bgColor rgb="FFE7E6E6"/>
      </patternFill>
    </fill>
    <fill>
      <patternFill patternType="solid">
        <fgColor theme="9" tint="0.59987182226020086"/>
        <bgColor rgb="FFDDDDDD"/>
      </patternFill>
    </fill>
    <fill>
      <patternFill patternType="solid">
        <fgColor theme="7" tint="0.79989013336588644"/>
        <bgColor rgb="FFE2F0D9"/>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rgb="FFFFFF00"/>
        <bgColor rgb="FFE2F0D9"/>
      </patternFill>
    </fill>
    <fill>
      <patternFill patternType="solid">
        <fgColor rgb="FF92D050"/>
        <bgColor rgb="FF99CCFF"/>
      </patternFill>
    </fill>
    <fill>
      <patternFill patternType="solid">
        <fgColor rgb="FF00B050"/>
        <bgColor indexed="64"/>
      </patternFill>
    </fill>
    <fill>
      <patternFill patternType="solid">
        <fgColor rgb="FFFFFF00"/>
        <bgColor rgb="FF99CCFF"/>
      </patternFill>
    </fill>
    <fill>
      <patternFill patternType="solid">
        <fgColor rgb="FF92D050"/>
        <bgColor rgb="FFE2F0D9"/>
      </patternFill>
    </fill>
    <fill>
      <patternFill patternType="solid">
        <fgColor rgb="FFFFC000"/>
        <bgColor indexed="64"/>
      </patternFill>
    </fill>
    <fill>
      <patternFill patternType="solid">
        <fgColor rgb="FFFFC000"/>
        <bgColor rgb="FFE2F0D9"/>
      </patternFill>
    </fill>
    <fill>
      <patternFill patternType="solid">
        <fgColor rgb="FF00B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s>
  <borders count="14">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s>
  <cellStyleXfs count="3">
    <xf numFmtId="0" fontId="0" fillId="0" borderId="0"/>
    <xf numFmtId="164" fontId="11" fillId="0" borderId="0" applyBorder="0" applyProtection="0"/>
    <xf numFmtId="166" fontId="11" fillId="0" borderId="0" applyBorder="0" applyProtection="0"/>
  </cellStyleXfs>
  <cellXfs count="223">
    <xf numFmtId="0" fontId="0" fillId="0" borderId="0" xfId="0"/>
    <xf numFmtId="0" fontId="1" fillId="2" borderId="7" xfId="0" applyFont="1" applyFill="1" applyBorder="1" applyAlignment="1">
      <alignment horizontal="left" vertical="top"/>
    </xf>
    <xf numFmtId="0" fontId="1" fillId="2" borderId="2" xfId="0" applyFont="1" applyFill="1" applyBorder="1" applyAlignment="1">
      <alignment horizontal="left" vertical="top"/>
    </xf>
    <xf numFmtId="164" fontId="1" fillId="0" borderId="0" xfId="0" applyNumberFormat="1" applyFont="1"/>
    <xf numFmtId="164" fontId="0" fillId="0" borderId="0" xfId="0" applyNumberFormat="1"/>
    <xf numFmtId="0" fontId="0" fillId="0" borderId="0" xfId="0" applyAlignment="1">
      <alignment horizontal="right"/>
    </xf>
    <xf numFmtId="0" fontId="1" fillId="0" borderId="0" xfId="0" applyFont="1"/>
    <xf numFmtId="0" fontId="3" fillId="0" borderId="0" xfId="0" applyFont="1"/>
    <xf numFmtId="0" fontId="4"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0" fillId="0" borderId="2" xfId="0" applyBorder="1"/>
    <xf numFmtId="0" fontId="0" fillId="0" borderId="4" xfId="0" applyBorder="1"/>
    <xf numFmtId="165" fontId="11" fillId="3" borderId="4" xfId="1" applyNumberFormat="1" applyFill="1" applyBorder="1" applyProtection="1"/>
    <xf numFmtId="164" fontId="0" fillId="3" borderId="4" xfId="0" applyNumberFormat="1" applyFill="1" applyBorder="1" applyAlignment="1">
      <alignment wrapText="1"/>
    </xf>
    <xf numFmtId="165" fontId="11" fillId="3" borderId="5" xfId="1" applyNumberFormat="1" applyFill="1" applyBorder="1" applyProtection="1"/>
    <xf numFmtId="164" fontId="0" fillId="3" borderId="5" xfId="0" applyNumberFormat="1" applyFill="1" applyBorder="1" applyAlignment="1">
      <alignment wrapText="1"/>
    </xf>
    <xf numFmtId="164" fontId="11" fillId="3" borderId="5" xfId="1" applyFill="1" applyBorder="1" applyProtection="1"/>
    <xf numFmtId="165" fontId="11" fillId="3" borderId="6" xfId="1" applyNumberFormat="1" applyFill="1" applyBorder="1" applyProtection="1"/>
    <xf numFmtId="0" fontId="1" fillId="2" borderId="2" xfId="0" applyFont="1" applyFill="1" applyBorder="1" applyAlignment="1">
      <alignment horizontal="left" vertical="top" wrapText="1"/>
    </xf>
    <xf numFmtId="165" fontId="11" fillId="0" borderId="2" xfId="2" applyNumberFormat="1" applyBorder="1" applyProtection="1"/>
    <xf numFmtId="164" fontId="0" fillId="0" borderId="2" xfId="0" applyNumberFormat="1" applyBorder="1" applyAlignment="1">
      <alignment wrapText="1"/>
    </xf>
    <xf numFmtId="0" fontId="1" fillId="2" borderId="7" xfId="0" applyFont="1" applyFill="1" applyBorder="1" applyAlignment="1">
      <alignment horizontal="left" vertical="top" wrapText="1"/>
    </xf>
    <xf numFmtId="164" fontId="0" fillId="0" borderId="2" xfId="0" applyNumberFormat="1" applyBorder="1"/>
    <xf numFmtId="0" fontId="1" fillId="2" borderId="1" xfId="0" applyFont="1" applyFill="1" applyBorder="1" applyAlignment="1">
      <alignment horizontal="left" vertical="top" wrapText="1"/>
    </xf>
    <xf numFmtId="165" fontId="11" fillId="0" borderId="5" xfId="1" applyNumberFormat="1" applyBorder="1" applyProtection="1"/>
    <xf numFmtId="164" fontId="0" fillId="0" borderId="6" xfId="0" applyNumberFormat="1" applyBorder="1" applyAlignment="1">
      <alignment wrapText="1"/>
    </xf>
    <xf numFmtId="0" fontId="1" fillId="2" borderId="4" xfId="0" applyFont="1" applyFill="1" applyBorder="1" applyAlignment="1">
      <alignment horizontal="left" vertical="top"/>
    </xf>
    <xf numFmtId="0" fontId="0" fillId="2" borderId="0" xfId="0" applyFill="1"/>
    <xf numFmtId="164" fontId="0" fillId="3" borderId="5" xfId="0" applyNumberFormat="1" applyFill="1" applyBorder="1"/>
    <xf numFmtId="0" fontId="1" fillId="2" borderId="5" xfId="0" applyFont="1" applyFill="1" applyBorder="1" applyAlignment="1">
      <alignment horizontal="left" vertical="top"/>
    </xf>
    <xf numFmtId="164" fontId="0" fillId="3" borderId="6" xfId="0" applyNumberFormat="1" applyFill="1" applyBorder="1"/>
    <xf numFmtId="164" fontId="0" fillId="3" borderId="6" xfId="0" applyNumberFormat="1" applyFill="1" applyBorder="1" applyAlignment="1">
      <alignment wrapText="1"/>
    </xf>
    <xf numFmtId="0" fontId="1" fillId="2" borderId="7" xfId="0" applyFont="1" applyFill="1" applyBorder="1" applyAlignment="1">
      <alignment wrapText="1"/>
    </xf>
    <xf numFmtId="164" fontId="1" fillId="0" borderId="2" xfId="0" applyNumberFormat="1" applyFont="1" applyBorder="1" applyAlignment="1">
      <alignment wrapText="1"/>
    </xf>
    <xf numFmtId="0" fontId="1" fillId="2" borderId="2" xfId="0" applyFont="1" applyFill="1" applyBorder="1" applyAlignment="1">
      <alignment wrapText="1"/>
    </xf>
    <xf numFmtId="0" fontId="1" fillId="2" borderId="0" xfId="0" applyFont="1" applyFill="1"/>
    <xf numFmtId="164" fontId="5" fillId="4" borderId="0" xfId="0" applyNumberFormat="1" applyFont="1" applyFill="1"/>
    <xf numFmtId="164" fontId="6" fillId="0" borderId="0" xfId="0" applyNumberFormat="1" applyFont="1"/>
    <xf numFmtId="164" fontId="1" fillId="0" borderId="0" xfId="0" applyNumberFormat="1" applyFont="1" applyAlignment="1">
      <alignment wrapText="1"/>
    </xf>
    <xf numFmtId="164" fontId="1" fillId="0" borderId="0" xfId="1" applyFont="1" applyBorder="1" applyProtection="1"/>
    <xf numFmtId="164" fontId="11" fillId="0" borderId="0" xfId="1" applyBorder="1" applyProtection="1"/>
    <xf numFmtId="164" fontId="7" fillId="0" borderId="0" xfId="0" applyNumberFormat="1" applyFont="1"/>
    <xf numFmtId="165" fontId="11" fillId="3" borderId="8" xfId="1" applyNumberFormat="1" applyFill="1" applyBorder="1" applyProtection="1"/>
    <xf numFmtId="165" fontId="11" fillId="3" borderId="9" xfId="1" applyNumberFormat="1" applyFill="1" applyBorder="1" applyProtection="1"/>
    <xf numFmtId="164" fontId="0" fillId="3" borderId="9" xfId="0" applyNumberFormat="1" applyFill="1" applyBorder="1"/>
    <xf numFmtId="165" fontId="11" fillId="3" borderId="10" xfId="1" applyNumberFormat="1" applyFill="1" applyBorder="1" applyProtection="1"/>
    <xf numFmtId="166" fontId="11" fillId="0" borderId="2" xfId="2" applyBorder="1" applyProtection="1"/>
    <xf numFmtId="165" fontId="11" fillId="0" borderId="6" xfId="1" applyNumberFormat="1" applyBorder="1" applyProtection="1"/>
    <xf numFmtId="166" fontId="11" fillId="0" borderId="6" xfId="2" applyBorder="1" applyProtection="1"/>
    <xf numFmtId="164" fontId="11" fillId="3" borderId="2" xfId="1" applyFill="1" applyBorder="1" applyProtection="1"/>
    <xf numFmtId="166" fontId="11" fillId="3" borderId="2" xfId="2" applyFill="1" applyBorder="1" applyProtection="1"/>
    <xf numFmtId="164" fontId="0" fillId="3" borderId="2" xfId="0" applyNumberFormat="1" applyFill="1" applyBorder="1" applyAlignment="1">
      <alignment wrapText="1"/>
    </xf>
    <xf numFmtId="0" fontId="0" fillId="2" borderId="2" xfId="0" applyFill="1" applyBorder="1"/>
    <xf numFmtId="164" fontId="0" fillId="3" borderId="2" xfId="0" applyNumberFormat="1" applyFill="1" applyBorder="1"/>
    <xf numFmtId="165" fontId="0" fillId="3" borderId="2" xfId="0" applyNumberFormat="1" applyFill="1" applyBorder="1"/>
    <xf numFmtId="164" fontId="0" fillId="4" borderId="0" xfId="0" applyNumberFormat="1" applyFill="1"/>
    <xf numFmtId="164" fontId="5" fillId="0" borderId="0" xfId="0" applyNumberFormat="1" applyFont="1"/>
    <xf numFmtId="165" fontId="11" fillId="3" borderId="1" xfId="1" applyNumberFormat="1" applyFill="1" applyBorder="1" applyProtection="1"/>
    <xf numFmtId="165" fontId="11" fillId="3" borderId="11" xfId="1" applyNumberFormat="1" applyFill="1" applyBorder="1" applyProtection="1"/>
    <xf numFmtId="164" fontId="0" fillId="3" borderId="11" xfId="0" applyNumberFormat="1" applyFill="1" applyBorder="1"/>
    <xf numFmtId="165" fontId="11" fillId="3" borderId="3" xfId="1" applyNumberFormat="1" applyFill="1" applyBorder="1" applyProtection="1"/>
    <xf numFmtId="164" fontId="8" fillId="0" borderId="0" xfId="0" applyNumberFormat="1" applyFont="1"/>
    <xf numFmtId="0" fontId="1" fillId="0" borderId="4" xfId="0" applyFont="1" applyBorder="1"/>
    <xf numFmtId="0" fontId="1" fillId="0" borderId="4" xfId="0" applyFont="1" applyBorder="1" applyAlignment="1">
      <alignment wrapText="1"/>
    </xf>
    <xf numFmtId="0" fontId="0" fillId="0" borderId="6" xfId="0" applyBorder="1"/>
    <xf numFmtId="0" fontId="1" fillId="0" borderId="6" xfId="0" applyFont="1" applyBorder="1"/>
    <xf numFmtId="0" fontId="0" fillId="0" borderId="5" xfId="0" applyBorder="1"/>
    <xf numFmtId="0" fontId="0" fillId="0" borderId="1" xfId="0" applyBorder="1"/>
    <xf numFmtId="0" fontId="0" fillId="0" borderId="12" xfId="0" applyBorder="1"/>
    <xf numFmtId="0" fontId="0" fillId="0" borderId="8" xfId="0" applyBorder="1"/>
    <xf numFmtId="0" fontId="0" fillId="0" borderId="11" xfId="0" applyBorder="1"/>
    <xf numFmtId="0" fontId="0" fillId="0" borderId="9" xfId="0" applyBorder="1"/>
    <xf numFmtId="0" fontId="0" fillId="0" borderId="3" xfId="0" applyBorder="1"/>
    <xf numFmtId="0" fontId="0" fillId="0" borderId="13" xfId="0" applyBorder="1"/>
    <xf numFmtId="0" fontId="0" fillId="0" borderId="10" xfId="0" applyBorder="1"/>
    <xf numFmtId="0" fontId="0" fillId="0" borderId="0" xfId="0" applyAlignment="1">
      <alignment wrapText="1"/>
    </xf>
    <xf numFmtId="164" fontId="0" fillId="0" borderId="4" xfId="0" applyNumberFormat="1" applyBorder="1"/>
    <xf numFmtId="165" fontId="11" fillId="0" borderId="4" xfId="1" applyNumberFormat="1" applyBorder="1" applyProtection="1"/>
    <xf numFmtId="164" fontId="0" fillId="0" borderId="4" xfId="0" applyNumberFormat="1" applyBorder="1" applyAlignment="1">
      <alignment wrapText="1"/>
    </xf>
    <xf numFmtId="164" fontId="0" fillId="0" borderId="5" xfId="0" applyNumberFormat="1" applyBorder="1"/>
    <xf numFmtId="164" fontId="0" fillId="0" borderId="5" xfId="0" applyNumberFormat="1" applyBorder="1" applyAlignment="1">
      <alignment wrapText="1"/>
    </xf>
    <xf numFmtId="164" fontId="0" fillId="0" borderId="2" xfId="0" applyNumberFormat="1" applyBorder="1" applyAlignment="1">
      <alignment horizontal="center"/>
    </xf>
    <xf numFmtId="165" fontId="0" fillId="0" borderId="5" xfId="0" applyNumberFormat="1" applyBorder="1"/>
    <xf numFmtId="164" fontId="0" fillId="0" borderId="6" xfId="0" applyNumberFormat="1" applyBorder="1"/>
    <xf numFmtId="0" fontId="1" fillId="2" borderId="7" xfId="0" applyFont="1" applyFill="1" applyBorder="1"/>
    <xf numFmtId="164" fontId="0" fillId="0" borderId="0" xfId="0" applyNumberFormat="1" applyAlignment="1">
      <alignment wrapText="1"/>
    </xf>
    <xf numFmtId="164" fontId="0" fillId="5" borderId="0" xfId="0" applyNumberFormat="1" applyFill="1"/>
    <xf numFmtId="164" fontId="11" fillId="3" borderId="11" xfId="1" applyFill="1" applyBorder="1" applyProtection="1"/>
    <xf numFmtId="166" fontId="11" fillId="3" borderId="5" xfId="2" applyFill="1" applyBorder="1" applyProtection="1"/>
    <xf numFmtId="165" fontId="0" fillId="3" borderId="11" xfId="0" applyNumberFormat="1" applyFill="1" applyBorder="1"/>
    <xf numFmtId="165" fontId="0" fillId="3" borderId="5" xfId="0" applyNumberFormat="1" applyFill="1" applyBorder="1"/>
    <xf numFmtId="164" fontId="0" fillId="2" borderId="2" xfId="0" applyNumberFormat="1" applyFill="1" applyBorder="1"/>
    <xf numFmtId="0" fontId="9" fillId="0" borderId="0" xfId="0" applyFont="1"/>
    <xf numFmtId="0" fontId="10" fillId="0" borderId="0" xfId="0" applyFont="1"/>
    <xf numFmtId="164" fontId="11" fillId="3" borderId="9" xfId="1" applyFill="1" applyBorder="1" applyProtection="1"/>
    <xf numFmtId="0" fontId="0" fillId="6" borderId="0" xfId="0" applyFill="1" applyAlignment="1">
      <alignment wrapText="1"/>
    </xf>
    <xf numFmtId="164" fontId="11" fillId="3" borderId="5" xfId="1" applyFill="1" applyBorder="1" applyAlignment="1" applyProtection="1">
      <alignment horizontal="center" vertical="center"/>
    </xf>
    <xf numFmtId="0" fontId="0" fillId="3" borderId="4" xfId="0" applyFill="1" applyBorder="1"/>
    <xf numFmtId="164" fontId="11" fillId="0" borderId="2" xfId="1" applyBorder="1" applyProtection="1"/>
    <xf numFmtId="165" fontId="11" fillId="3" borderId="2" xfId="1" applyNumberFormat="1" applyFill="1" applyBorder="1" applyProtection="1"/>
    <xf numFmtId="0" fontId="0" fillId="3" borderId="2" xfId="0" applyFill="1" applyBorder="1"/>
    <xf numFmtId="0" fontId="1" fillId="2" borderId="11" xfId="0" applyFont="1" applyFill="1" applyBorder="1"/>
    <xf numFmtId="0" fontId="1" fillId="2" borderId="5" xfId="0" applyFont="1" applyFill="1" applyBorder="1" applyAlignment="1">
      <alignment horizontal="left"/>
    </xf>
    <xf numFmtId="0" fontId="1" fillId="2" borderId="4" xfId="0" applyFont="1" applyFill="1" applyBorder="1"/>
    <xf numFmtId="0" fontId="0" fillId="7" borderId="2" xfId="0" applyFill="1" applyBorder="1"/>
    <xf numFmtId="0" fontId="0" fillId="8" borderId="2" xfId="0" applyFill="1" applyBorder="1"/>
    <xf numFmtId="165" fontId="11" fillId="7" borderId="2" xfId="1" applyNumberFormat="1" applyFill="1" applyBorder="1" applyProtection="1"/>
    <xf numFmtId="165" fontId="11" fillId="8" borderId="2" xfId="1" applyNumberFormat="1" applyFill="1" applyBorder="1" applyProtection="1"/>
    <xf numFmtId="164" fontId="11" fillId="7" borderId="2" xfId="1" applyFill="1" applyBorder="1" applyProtection="1"/>
    <xf numFmtId="164" fontId="0" fillId="7" borderId="2" xfId="0" applyNumberFormat="1" applyFill="1" applyBorder="1"/>
    <xf numFmtId="164" fontId="0" fillId="8" borderId="2" xfId="0" applyNumberFormat="1" applyFill="1" applyBorder="1"/>
    <xf numFmtId="165" fontId="11" fillId="7" borderId="2" xfId="2" applyNumberFormat="1" applyFill="1" applyBorder="1" applyProtection="1"/>
    <xf numFmtId="165" fontId="11" fillId="8" borderId="2" xfId="2" applyNumberFormat="1" applyFill="1" applyBorder="1" applyProtection="1"/>
    <xf numFmtId="165" fontId="11" fillId="7" borderId="5" xfId="1" applyNumberFormat="1" applyFill="1" applyBorder="1" applyProtection="1"/>
    <xf numFmtId="165" fontId="11" fillId="8" borderId="5" xfId="1" applyNumberFormat="1" applyFill="1" applyBorder="1" applyProtection="1"/>
    <xf numFmtId="166" fontId="11" fillId="7" borderId="2" xfId="2" applyFill="1" applyBorder="1" applyProtection="1"/>
    <xf numFmtId="166" fontId="11" fillId="8" borderId="2" xfId="2" applyFill="1" applyBorder="1" applyProtection="1"/>
    <xf numFmtId="164" fontId="11" fillId="8" borderId="2" xfId="1" applyFill="1" applyBorder="1" applyProtection="1"/>
    <xf numFmtId="164" fontId="1" fillId="7" borderId="2" xfId="0" applyNumberFormat="1" applyFont="1" applyFill="1" applyBorder="1" applyAlignment="1">
      <alignment wrapText="1"/>
    </xf>
    <xf numFmtId="164" fontId="1" fillId="8" borderId="2" xfId="0" applyNumberFormat="1" applyFont="1" applyFill="1" applyBorder="1" applyAlignment="1">
      <alignment wrapText="1"/>
    </xf>
    <xf numFmtId="164" fontId="0" fillId="7" borderId="2" xfId="0" applyNumberFormat="1" applyFill="1" applyBorder="1" applyAlignment="1">
      <alignment wrapText="1"/>
    </xf>
    <xf numFmtId="164" fontId="0" fillId="8" borderId="2" xfId="0" applyNumberFormat="1" applyFill="1" applyBorder="1" applyAlignment="1">
      <alignment wrapText="1"/>
    </xf>
    <xf numFmtId="0" fontId="1" fillId="2" borderId="13" xfId="0" applyFont="1" applyFill="1" applyBorder="1"/>
    <xf numFmtId="0" fontId="12" fillId="2" borderId="0" xfId="0" applyFont="1" applyFill="1"/>
    <xf numFmtId="164" fontId="12" fillId="0" borderId="2" xfId="0" applyNumberFormat="1" applyFont="1" applyBorder="1"/>
    <xf numFmtId="0" fontId="0" fillId="3" borderId="5" xfId="0" applyFill="1" applyBorder="1"/>
    <xf numFmtId="165" fontId="11" fillId="9" borderId="5" xfId="1" applyNumberFormat="1" applyFill="1" applyBorder="1" applyProtection="1"/>
    <xf numFmtId="164" fontId="1" fillId="10" borderId="2" xfId="0" applyNumberFormat="1" applyFont="1" applyFill="1" applyBorder="1" applyAlignment="1">
      <alignment wrapText="1"/>
    </xf>
    <xf numFmtId="164" fontId="0" fillId="9" borderId="2" xfId="0" applyNumberFormat="1" applyFill="1" applyBorder="1"/>
    <xf numFmtId="0" fontId="0" fillId="11" borderId="0" xfId="0" applyFill="1"/>
    <xf numFmtId="167" fontId="0" fillId="0" borderId="0" xfId="0" applyNumberFormat="1"/>
    <xf numFmtId="2" fontId="11" fillId="0" borderId="2" xfId="2" applyNumberFormat="1" applyBorder="1" applyProtection="1"/>
    <xf numFmtId="168" fontId="11" fillId="0" borderId="0" xfId="1" applyNumberFormat="1"/>
    <xf numFmtId="164" fontId="0" fillId="3" borderId="2" xfId="0" applyNumberFormat="1" applyFill="1" applyBorder="1" applyAlignment="1">
      <alignment horizontal="right" wrapText="1"/>
    </xf>
    <xf numFmtId="165" fontId="11" fillId="10" borderId="5" xfId="1" applyNumberFormat="1" applyFill="1" applyBorder="1" applyProtection="1"/>
    <xf numFmtId="164" fontId="0" fillId="10" borderId="2" xfId="0" applyNumberFormat="1" applyFill="1" applyBorder="1"/>
    <xf numFmtId="164" fontId="1" fillId="9" borderId="2" xfId="0" applyNumberFormat="1" applyFont="1" applyFill="1" applyBorder="1" applyAlignment="1">
      <alignment wrapText="1"/>
    </xf>
    <xf numFmtId="168" fontId="0" fillId="0" borderId="2" xfId="0" applyNumberFormat="1" applyBorder="1"/>
    <xf numFmtId="165" fontId="11" fillId="0" borderId="2" xfId="1" applyNumberFormat="1" applyBorder="1" applyProtection="1"/>
    <xf numFmtId="0" fontId="0" fillId="11" borderId="2" xfId="0" applyFill="1" applyBorder="1"/>
    <xf numFmtId="168" fontId="11" fillId="0" borderId="2" xfId="1" applyNumberFormat="1" applyBorder="1"/>
    <xf numFmtId="168" fontId="11" fillId="0" borderId="2" xfId="1" applyNumberFormat="1" applyBorder="1" applyProtection="1"/>
    <xf numFmtId="0" fontId="1" fillId="2" borderId="1" xfId="0" applyFont="1" applyFill="1" applyBorder="1" applyAlignment="1">
      <alignment horizontal="left" vertical="top"/>
    </xf>
    <xf numFmtId="168" fontId="11" fillId="0" borderId="2" xfId="2" applyNumberFormat="1" applyBorder="1"/>
    <xf numFmtId="165" fontId="11" fillId="12" borderId="2" xfId="1" applyNumberFormat="1" applyFill="1" applyBorder="1" applyProtection="1"/>
    <xf numFmtId="0" fontId="1" fillId="2" borderId="11" xfId="0" applyFont="1" applyFill="1" applyBorder="1" applyAlignment="1">
      <alignment horizontal="left" vertical="top"/>
    </xf>
    <xf numFmtId="0" fontId="1" fillId="2" borderId="1" xfId="0" applyFont="1" applyFill="1" applyBorder="1" applyAlignment="1">
      <alignment wrapText="1"/>
    </xf>
    <xf numFmtId="0" fontId="1" fillId="2" borderId="3" xfId="0" applyFont="1" applyFill="1" applyBorder="1" applyAlignment="1">
      <alignment wrapText="1"/>
    </xf>
    <xf numFmtId="0" fontId="0" fillId="2" borderId="2" xfId="0" applyFill="1" applyBorder="1" applyAlignment="1">
      <alignment wrapText="1"/>
    </xf>
    <xf numFmtId="0" fontId="12" fillId="2" borderId="0" xfId="0" applyFont="1" applyFill="1" applyAlignment="1">
      <alignment wrapText="1"/>
    </xf>
    <xf numFmtId="0" fontId="0" fillId="2" borderId="7" xfId="0" applyFill="1" applyBorder="1"/>
    <xf numFmtId="165" fontId="11" fillId="10" borderId="2" xfId="1" applyNumberFormat="1" applyFill="1" applyBorder="1" applyProtection="1"/>
    <xf numFmtId="164" fontId="0" fillId="14" borderId="2" xfId="0" applyNumberFormat="1" applyFill="1" applyBorder="1"/>
    <xf numFmtId="0" fontId="1" fillId="15" borderId="4" xfId="0" applyFont="1" applyFill="1" applyBorder="1" applyAlignment="1">
      <alignment horizontal="left" vertical="top"/>
    </xf>
    <xf numFmtId="0" fontId="1" fillId="15" borderId="7" xfId="0" applyFont="1" applyFill="1" applyBorder="1" applyAlignment="1">
      <alignment wrapText="1"/>
    </xf>
    <xf numFmtId="165" fontId="11" fillId="16" borderId="4" xfId="1" applyNumberFormat="1" applyFill="1" applyBorder="1" applyProtection="1"/>
    <xf numFmtId="165" fontId="11" fillId="16" borderId="5" xfId="1" applyNumberFormat="1" applyFill="1" applyBorder="1" applyProtection="1"/>
    <xf numFmtId="164" fontId="11" fillId="16" borderId="5" xfId="1" applyFill="1" applyBorder="1" applyProtection="1"/>
    <xf numFmtId="165" fontId="11" fillId="16" borderId="6" xfId="1" applyNumberFormat="1" applyFill="1" applyBorder="1" applyProtection="1"/>
    <xf numFmtId="165" fontId="11" fillId="10" borderId="2" xfId="2" applyNumberFormat="1" applyFill="1" applyBorder="1" applyProtection="1"/>
    <xf numFmtId="166" fontId="11" fillId="10" borderId="2" xfId="2" applyFill="1" applyBorder="1" applyProtection="1"/>
    <xf numFmtId="164" fontId="11" fillId="16" borderId="2" xfId="1" applyFill="1" applyBorder="1" applyProtection="1"/>
    <xf numFmtId="164" fontId="0" fillId="16" borderId="2" xfId="0" applyNumberFormat="1" applyFill="1" applyBorder="1"/>
    <xf numFmtId="164" fontId="0" fillId="16" borderId="5" xfId="0" applyNumberFormat="1" applyFill="1" applyBorder="1"/>
    <xf numFmtId="165" fontId="11" fillId="16" borderId="8" xfId="1" applyNumberFormat="1" applyFill="1" applyBorder="1" applyProtection="1"/>
    <xf numFmtId="165" fontId="11" fillId="16" borderId="9" xfId="1" applyNumberFormat="1" applyFill="1" applyBorder="1" applyProtection="1"/>
    <xf numFmtId="164" fontId="0" fillId="16" borderId="9" xfId="0" applyNumberFormat="1" applyFill="1" applyBorder="1"/>
    <xf numFmtId="165" fontId="11" fillId="16" borderId="10" xfId="1" applyNumberFormat="1" applyFill="1" applyBorder="1" applyProtection="1"/>
    <xf numFmtId="165" fontId="11" fillId="10" borderId="6" xfId="1" applyNumberFormat="1" applyFill="1" applyBorder="1" applyProtection="1"/>
    <xf numFmtId="166" fontId="11" fillId="10" borderId="6" xfId="2" applyFill="1" applyBorder="1" applyProtection="1"/>
    <xf numFmtId="164" fontId="11" fillId="18" borderId="2" xfId="1" applyFill="1" applyBorder="1" applyProtection="1"/>
    <xf numFmtId="166" fontId="11" fillId="18" borderId="2" xfId="2" applyFill="1" applyBorder="1" applyProtection="1"/>
    <xf numFmtId="164" fontId="0" fillId="18" borderId="2" xfId="0" applyNumberFormat="1" applyFill="1" applyBorder="1"/>
    <xf numFmtId="165" fontId="0" fillId="18" borderId="2" xfId="0" applyNumberFormat="1" applyFill="1" applyBorder="1"/>
    <xf numFmtId="164" fontId="0" fillId="17" borderId="2" xfId="0" applyNumberFormat="1" applyFill="1" applyBorder="1"/>
    <xf numFmtId="165" fontId="11" fillId="19" borderId="5" xfId="1" applyNumberFormat="1" applyFill="1" applyBorder="1" applyProtection="1"/>
    <xf numFmtId="164" fontId="0" fillId="19" borderId="2" xfId="0" applyNumberFormat="1" applyFill="1" applyBorder="1"/>
    <xf numFmtId="164" fontId="1" fillId="19" borderId="2" xfId="0" applyNumberFormat="1" applyFont="1" applyFill="1" applyBorder="1" applyAlignment="1">
      <alignment wrapText="1"/>
    </xf>
    <xf numFmtId="0" fontId="11" fillId="0" borderId="2" xfId="1" applyNumberFormat="1" applyBorder="1" applyProtection="1"/>
    <xf numFmtId="2" fontId="11" fillId="0" borderId="6" xfId="2" applyNumberFormat="1" applyBorder="1" applyProtection="1"/>
    <xf numFmtId="44" fontId="11" fillId="0" borderId="2" xfId="2" applyNumberFormat="1" applyBorder="1" applyProtection="1"/>
    <xf numFmtId="0" fontId="1" fillId="20" borderId="0" xfId="0" applyFont="1" applyFill="1"/>
    <xf numFmtId="0" fontId="0" fillId="20" borderId="0" xfId="0" applyFill="1" applyAlignment="1">
      <alignment horizontal="right"/>
    </xf>
    <xf numFmtId="0" fontId="0" fillId="20" borderId="0" xfId="0" applyFill="1"/>
    <xf numFmtId="0" fontId="2" fillId="20" borderId="0" xfId="0" applyFont="1" applyFill="1" applyAlignment="1">
      <alignment horizontal="right"/>
    </xf>
    <xf numFmtId="0" fontId="2" fillId="20" borderId="0" xfId="0" applyFont="1" applyFill="1"/>
    <xf numFmtId="0" fontId="1" fillId="21" borderId="0" xfId="0" applyFont="1" applyFill="1"/>
    <xf numFmtId="0" fontId="0" fillId="21" borderId="0" xfId="0" applyFill="1" applyAlignment="1">
      <alignment horizontal="right"/>
    </xf>
    <xf numFmtId="0" fontId="0" fillId="21" borderId="0" xfId="0" applyFill="1"/>
    <xf numFmtId="0" fontId="0" fillId="22" borderId="0" xfId="0" applyFill="1"/>
    <xf numFmtId="168" fontId="0" fillId="3" borderId="5" xfId="0" applyNumberFormat="1" applyFill="1" applyBorder="1"/>
    <xf numFmtId="168" fontId="11" fillId="3" borderId="4" xfId="1" applyNumberFormat="1" applyFill="1" applyBorder="1" applyProtection="1"/>
    <xf numFmtId="168" fontId="11" fillId="3" borderId="1" xfId="1" applyNumberFormat="1" applyFill="1" applyBorder="1" applyProtection="1"/>
    <xf numFmtId="168" fontId="11" fillId="3" borderId="8" xfId="1" applyNumberFormat="1" applyFill="1" applyBorder="1" applyProtection="1"/>
    <xf numFmtId="168" fontId="11" fillId="3" borderId="5" xfId="1" applyNumberFormat="1" applyFill="1" applyBorder="1" applyProtection="1"/>
    <xf numFmtId="168" fontId="11" fillId="3" borderId="11" xfId="1" applyNumberFormat="1" applyFill="1" applyBorder="1" applyProtection="1"/>
    <xf numFmtId="168" fontId="11" fillId="3" borderId="9" xfId="1" applyNumberFormat="1" applyFill="1" applyBorder="1" applyProtection="1"/>
    <xf numFmtId="168" fontId="0" fillId="3" borderId="9" xfId="0" applyNumberFormat="1" applyFill="1" applyBorder="1"/>
    <xf numFmtId="168" fontId="11" fillId="3" borderId="6" xfId="1" applyNumberFormat="1" applyFill="1" applyBorder="1" applyProtection="1"/>
    <xf numFmtId="168" fontId="11" fillId="3" borderId="3" xfId="1" applyNumberFormat="1" applyFill="1" applyBorder="1" applyProtection="1"/>
    <xf numFmtId="168" fontId="11" fillId="3" borderId="10" xfId="1" applyNumberFormat="1" applyFill="1" applyBorder="1" applyProtection="1"/>
    <xf numFmtId="168" fontId="11" fillId="0" borderId="2" xfId="2" applyNumberFormat="1" applyBorder="1" applyProtection="1"/>
    <xf numFmtId="168" fontId="11" fillId="9" borderId="5" xfId="1" applyNumberFormat="1" applyFill="1" applyBorder="1" applyProtection="1"/>
    <xf numFmtId="168" fontId="11" fillId="0" borderId="6" xfId="1" applyNumberFormat="1" applyBorder="1" applyProtection="1"/>
    <xf numFmtId="168" fontId="11" fillId="3" borderId="2" xfId="1" applyNumberFormat="1" applyFill="1" applyBorder="1" applyProtection="1"/>
    <xf numFmtId="168" fontId="0" fillId="11" borderId="2" xfId="0" applyNumberFormat="1" applyFill="1" applyBorder="1"/>
    <xf numFmtId="168" fontId="11" fillId="3" borderId="2" xfId="2" applyNumberFormat="1" applyFill="1" applyBorder="1" applyProtection="1"/>
    <xf numFmtId="168" fontId="0" fillId="3" borderId="2" xfId="0" applyNumberFormat="1" applyFill="1" applyBorder="1"/>
    <xf numFmtId="168" fontId="0" fillId="9" borderId="2" xfId="0" applyNumberFormat="1" applyFill="1" applyBorder="1"/>
    <xf numFmtId="168" fontId="1" fillId="0" borderId="2" xfId="0" applyNumberFormat="1" applyFont="1" applyBorder="1" applyAlignment="1">
      <alignment wrapText="1"/>
    </xf>
    <xf numFmtId="168" fontId="0" fillId="0" borderId="2" xfId="0" applyNumberFormat="1" applyBorder="1" applyAlignment="1">
      <alignment wrapText="1"/>
    </xf>
    <xf numFmtId="168" fontId="0" fillId="13" borderId="2" xfId="0" applyNumberFormat="1" applyFill="1" applyBorder="1"/>
    <xf numFmtId="168" fontId="0" fillId="2" borderId="2" xfId="0" applyNumberFormat="1" applyFill="1" applyBorder="1"/>
    <xf numFmtId="0" fontId="1" fillId="15" borderId="1" xfId="0" applyFont="1" applyFill="1" applyBorder="1" applyAlignment="1">
      <alignment horizontal="left" vertical="top"/>
    </xf>
    <xf numFmtId="164" fontId="0" fillId="0" borderId="0" xfId="0" applyNumberFormat="1"/>
    <xf numFmtId="164" fontId="1" fillId="0" borderId="0" xfId="0" applyNumberFormat="1" applyFont="1"/>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7" xfId="0" applyFont="1" applyFill="1" applyBorder="1" applyAlignment="1">
      <alignment horizontal="left" vertical="top"/>
    </xf>
    <xf numFmtId="0" fontId="1" fillId="2" borderId="4" xfId="0" applyFont="1" applyFill="1" applyBorder="1" applyAlignment="1">
      <alignment horizontal="left"/>
    </xf>
    <xf numFmtId="0" fontId="1" fillId="2" borderId="1" xfId="0" applyFont="1" applyFill="1" applyBorder="1" applyAlignment="1">
      <alignment horizontal="left"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2CC"/>
      <rgbColor rgb="FFE7E6E6"/>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5E0B4"/>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00B050"/>
      <rgbColor rgb="FF111314"/>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135000</xdr:colOff>
      <xdr:row>22</xdr:row>
      <xdr:rowOff>58680</xdr:rowOff>
    </xdr:from>
    <xdr:to>
      <xdr:col>3</xdr:col>
      <xdr:colOff>77040</xdr:colOff>
      <xdr:row>31</xdr:row>
      <xdr:rowOff>172800</xdr:rowOff>
    </xdr:to>
    <xdr:sp macro="" textlink="">
      <xdr:nvSpPr>
        <xdr:cNvPr id="2" name="Textfeld 1">
          <a:extLst>
            <a:ext uri="{FF2B5EF4-FFF2-40B4-BE49-F238E27FC236}">
              <a16:creationId xmlns:a16="http://schemas.microsoft.com/office/drawing/2014/main" id="{00000000-0008-0000-0100-000002000000}"/>
            </a:ext>
          </a:extLst>
        </xdr:cNvPr>
        <xdr:cNvSpPr/>
      </xdr:nvSpPr>
      <xdr:spPr>
        <a:xfrm>
          <a:off x="135000" y="4811760"/>
          <a:ext cx="4370400" cy="182844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Regelsatz nach Tabelle. Der Regelsatz richtet sich nach § 20 iVm VO zu §28 SGB XII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533520</xdr:colOff>
      <xdr:row>24</xdr:row>
      <xdr:rowOff>144000</xdr:rowOff>
    </xdr:from>
    <xdr:to>
      <xdr:col>8</xdr:col>
      <xdr:colOff>407160</xdr:colOff>
      <xdr:row>82</xdr:row>
      <xdr:rowOff>91440</xdr:rowOff>
    </xdr:to>
    <xdr:sp macro="" textlink="">
      <xdr:nvSpPr>
        <xdr:cNvPr id="11" name="Textfeld 1">
          <a:extLst>
            <a:ext uri="{FF2B5EF4-FFF2-40B4-BE49-F238E27FC236}">
              <a16:creationId xmlns:a16="http://schemas.microsoft.com/office/drawing/2014/main" id="{00000000-0008-0000-0B00-00000B000000}"/>
            </a:ext>
          </a:extLst>
        </xdr:cNvPr>
        <xdr:cNvSpPr/>
      </xdr:nvSpPr>
      <xdr:spPr>
        <a:xfrm>
          <a:off x="533520" y="6506640"/>
          <a:ext cx="8236440" cy="1099656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A. Vorüberlegungen</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I. Bedarfsgemeinschaften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zwei Schwestern Angelina und Veronica bilden im Verhältnis zueinander keine Bedarfsgemeinschaft i.S.d. § 7 Abs.3 SGB II. Zwar kann davon ausgegangen werden, dass sie Verantwortung füreinander tragen und füreinander einstehen (§ 7 Abs.2 Nr. 3c SGB II). Hierfür spricht auch die Vermutungsregelung des § 7 Abs. 3a SGB II, wonach ein Wille, wechselseitig Verantwortung füreinander zu tragen und füreinander einzustehen, vermutet wird, wenn ein Kind im Haushalt versorgt wird. Dies ist hier im Hinblick auf Yegor der Fall. Eine Bedarfsgemeinschaft liegt bei den beiden Schwestern aber dennoch nicht vor, weil sie nicht "Partner" sind. Dies ist nach § 7 Abs.2 Nr. 3c SGB II aber Voraussetzung. Es heißt dort: "Zur Bedarfsgemeinschaft gehören (...) </a:t>
          </a:r>
          <a:r>
            <a:rPr lang="de-DE" sz="1100" b="1" strike="noStrike" spc="-1">
              <a:solidFill>
                <a:schemeClr val="dk1"/>
              </a:solidFill>
              <a:latin typeface="Calibri"/>
            </a:rPr>
            <a:t>als Partnerin oder Partner</a:t>
          </a:r>
          <a:r>
            <a:rPr lang="de-DE" sz="1100" b="0" strike="noStrike" spc="-1">
              <a:solidFill>
                <a:schemeClr val="dk1"/>
              </a:solidFill>
              <a:latin typeface="Calibri"/>
            </a:rPr>
            <a:t> der erwerbsfähigen Leistungsberechtigten ...".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Yulia bildet im Verhältnis zu Angelina und Veronica keine Bedarfsgemeinschaft, weil es auch hier am Partnerschaftsverhältnis fehlt.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Angelina, Veronica und Yulia bilden auch im Verhältnis zu Illya keine Bedarfsgemeinschaft. Im Hinblick auf Illya ist schon fraglich, ob anzunehmen ist, dass dieser Verantwortung für die drei übernehmen und für diese einstehen will (§ 7 Abs.2 Nr. 3c SGB II). Auf jeden Fall fehlt es aber auch hier an einer Partnerschaft.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Veronica bildet mit ihrem Sohn Yegor eine Bedarfsgemeinschaft nach § 7 Abs.3 Nr.4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II. Leistungsberechtigte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Yulia ist erst 13 Jahre alt. Sie hat deshalb keinen Anspruch auf Arbeitslosengeld II (§ 19 Abs.1 S.1 SGB II). Sie könnten aber einen Anspruch auf Sozialgeld haben (§§ 7 Abs.1 S.1, 19 Abs.1 S.2 SGB II). Voraussetzungen wäre, dass sie mit "erwerbsfähigen Hilfebedürftigen in einer Bedarfsgemeinschaft lebt". Dies ist nicht der Fall; Yulia lebt mit keiner der genannten Personen in einer Bedarfsgemeinschaft (siehe oben). Weil in der Fallfrage nur nach Leistungen nach dem SGB II gefragt wird, ist für Yulia keine Berechnung durchzuführen.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Yllia ist Student. Er hat deshalb dem Grunde nach einen Anspruch auf Leistungen nach dem BAFöG. Dem Grunde nach meint, dass er einen Anspruch hätte, wenn er seine Ausbildung nicht anderweitig finanzieren könnte (vgl. § 1 BAföG). Für Personen, die dem Grunde nach </a:t>
          </a:r>
          <a:r>
            <a:rPr lang="de-DE" sz="1100" b="1" strike="noStrike" spc="-1">
              <a:solidFill>
                <a:schemeClr val="dk1"/>
              </a:solidFill>
              <a:latin typeface="Calibri"/>
            </a:rPr>
            <a:t>BAföG</a:t>
          </a:r>
          <a:r>
            <a:rPr lang="de-DE" sz="1100" b="0" strike="noStrike" spc="-1">
              <a:solidFill>
                <a:schemeClr val="dk1"/>
              </a:solidFill>
              <a:latin typeface="Calibri"/>
            </a:rPr>
            <a:t>-berechtigt sind, gibt es im SGB II einen </a:t>
          </a:r>
          <a:r>
            <a:rPr lang="de-DE" sz="1100" b="1" strike="noStrike" spc="-1">
              <a:solidFill>
                <a:schemeClr val="dk1"/>
              </a:solidFill>
              <a:latin typeface="Calibri"/>
            </a:rPr>
            <a:t>Leistungsausschluss</a:t>
          </a:r>
          <a:r>
            <a:rPr lang="de-DE" sz="1100" b="0" strike="noStrike" spc="-1">
              <a:solidFill>
                <a:schemeClr val="dk1"/>
              </a:solidFill>
              <a:latin typeface="Calibri"/>
            </a:rPr>
            <a:t>. Nach § 7 Abs.5 SGB II haben Auszubildende, deren Ausbildung  dem Grunde nach förderungshähig ist, grundsätzlich keinen Anspruch auf Leistungen. Ausnahmen regelt § 7 Abs.5 SGB II i.V.m. § 27 SGB II. Es geht hier  vor allem um Mehrbedarfe und E</a:t>
          </a:r>
          <a:r>
            <a:rPr lang="de-DE" sz="1200" b="0" strike="noStrike" spc="-1">
              <a:solidFill>
                <a:schemeClr val="dk1"/>
              </a:solidFill>
              <a:latin typeface="Calibri"/>
            </a:rPr>
            <a:t>rstausstattungen für Bekleidung und Erstausstattungen bei Schwangerschaft und Geburt. Für einen solchen Bedarf gibt es im Sachverhalt keine Anhaltspunkte. Deshalt hat Ylllia - unabhängig von der Frage seiner Bedürftigkeit - keine Ansprüche nach dem SGB II. Eine Berechnung ist für ihn nicht durchzuführen.</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Für die Berechnung verbleiben also:</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Bedarfsgemeinschaft Veronica und Yegor.</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Bedarfsgemeinschaft Angelina.</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B. Rechnung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Beide Frauen erhalten den vollen Regelsatz. Bei Yegor ist der Regelsatz der entsprechenden Altergruppe zu entnehmen. Veronica steht ein Mehrbedarf nach § 21 Abs. 3 Nr.1 SGB II (ein Kind unter sieben) zu.  Grundlage für die Berechung der Kosten der Unterkunft ist die Warmmiete abzüglich der Stromkosten. Die Stromkosten sind bereits im Regelsatz enthalten (vgl. § 20 Absatz 1 Satz 1 SGB II). Die Kosten der Unterkunft sind durch 5 zu teilen. Dies gilt auch, wenn - wie hier - in der Wohnung Personen leben, die selbst keine SGB II-Leistungen beziehen.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Einkommen von Vernonica wird nach § 11b SGB II bereinigt. Trotz der Nennung der Fahrtkosten (Bus: 35,- €) wird die 100,- €-Pauschale nach § 11b Abs.2 S.1 SGB II angesetzt, weil es keine Anhaltspunkte dafür gibt, dass Veronica nachweisen kann, </a:t>
          </a:r>
          <a:r>
            <a:rPr lang="de-DE" sz="1200" b="0" strike="noStrike" spc="-1">
              <a:solidFill>
                <a:schemeClr val="dk1"/>
              </a:solidFill>
              <a:latin typeface="Calibri"/>
            </a:rPr>
            <a:t>dass die Summe der Beträge nach Absatz 1 Satz 1 Nummer 3 bis 5 den Betrag von 100 Euro übersteigt (§ 11b Abs.2 S.2 SGB II). Bei Yegor wird das Kindergeld vom Bedarf abgezogen. Auch die Halbwaisenrente mindert Yegors Bedarf. Es handelt sich bei der Halbwaisenrente </a:t>
          </a:r>
          <a:r>
            <a:rPr lang="de-DE" sz="1200" b="0" i="1" strike="noStrike" spc="-1">
              <a:solidFill>
                <a:schemeClr val="dk1"/>
              </a:solidFill>
              <a:latin typeface="Calibri"/>
            </a:rPr>
            <a:t>nicht</a:t>
          </a:r>
          <a:r>
            <a:rPr lang="de-DE" sz="1200" b="0" strike="noStrike" spc="-1">
              <a:solidFill>
                <a:schemeClr val="dk1"/>
              </a:solidFill>
              <a:latin typeface="Calibri"/>
            </a:rPr>
            <a:t> um eine sog. zweckbestimmte Leistung nach § 11a Abs.3 SGB II, denn die Halbwaisenrente dient - wie die Leistungen nach dem SGB II - der Sicherung des Lebensunterhalts. Das bereinigte Einkommen von Veronica wird im Verhältnis des jeweils indiviuellen Bedarfs zum Gesamtbedarf auf die Leistungsberechtigten verteilt (siehe Zeile 19 der Rechnung).</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Vermögen von Angelina wird nicht angerechtnet, da es ihre Freibeträge aus § 12 SGB II Abs.2 Nr.1 und Nr.4 (4.350,-) unterschreitet.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PKW wird nicht angerechnet, weil er angemessen ist (§ 7 Abs.3 S.1 Nr. 2 SGB II). Für die Angemessenheit gilt eine Wertgrenze von 7.500,- €.</a:t>
          </a:r>
          <a:endParaRPr lang="de-DE" sz="1100" b="0" strike="noStrike" spc="-1">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9</xdr:col>
      <xdr:colOff>993600</xdr:colOff>
      <xdr:row>32</xdr:row>
      <xdr:rowOff>171720</xdr:rowOff>
    </xdr:to>
    <xdr:sp macro="" textlink="">
      <xdr:nvSpPr>
        <xdr:cNvPr id="12" name="Textfeld 1">
          <a:extLst>
            <a:ext uri="{FF2B5EF4-FFF2-40B4-BE49-F238E27FC236}">
              <a16:creationId xmlns:a16="http://schemas.microsoft.com/office/drawing/2014/main" id="{00000000-0008-0000-0C00-00000C000000}"/>
            </a:ext>
          </a:extLst>
        </xdr:cNvPr>
        <xdr:cNvSpPr/>
      </xdr:nvSpPr>
      <xdr:spPr>
        <a:xfrm>
          <a:off x="369000" y="5986800"/>
          <a:ext cx="6851520" cy="167148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(150*43 = 6450,-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10</xdr:col>
      <xdr:colOff>512740</xdr:colOff>
      <xdr:row>43</xdr:row>
      <xdr:rowOff>96228</xdr:rowOff>
    </xdr:to>
    <xdr:sp macro="" textlink="">
      <xdr:nvSpPr>
        <xdr:cNvPr id="2" name="Textfeld 1">
          <a:extLst>
            <a:ext uri="{FF2B5EF4-FFF2-40B4-BE49-F238E27FC236}">
              <a16:creationId xmlns:a16="http://schemas.microsoft.com/office/drawing/2014/main" id="{5DB8FDFA-8E53-944E-A0DC-A226EA9422FD}"/>
            </a:ext>
          </a:extLst>
        </xdr:cNvPr>
        <xdr:cNvSpPr/>
      </xdr:nvSpPr>
      <xdr:spPr>
        <a:xfrm>
          <a:off x="369000" y="7302808"/>
          <a:ext cx="7430365" cy="369160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Herr und Frau A bilden mit den Kindern Hasehm, Shirin und Dina eine Bedarfgemeinschaft.</a:t>
          </a:r>
          <a:r>
            <a:rPr lang="de-DE" sz="1100" b="0" strike="noStrike" spc="-1" baseline="0">
              <a:solidFill>
                <a:schemeClr val="dk1"/>
              </a:solidFill>
              <a:latin typeface="Calibri"/>
            </a:rPr>
            <a:t> Said gehört nicht zur Bedarfsgemeinschaft, weil er nicht im Haushalt lebt. Er ist Student und hat deshalb keinen Anspruch auf Grundsicherung (§ 7 V SGB II). Die Oma Soraya hat keinen Anspruch auf Bürgergeld, weil Sie die Altergrenze überschreitet (§ 7 Abs. 1 S. 1 Nr. 1 SGB II). Herr A ist trotz seiner Krankheit erwerbsfähig, weil er demnächst wieder arbeiten kann (vgl. § 8 I SGB II: "... auf absehbare Zeit ...").</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Die</a:t>
          </a:r>
          <a:r>
            <a:rPr lang="de-DE" sz="1100" b="0" strike="noStrike" spc="-1" baseline="0">
              <a:solidFill>
                <a:schemeClr val="dk1"/>
              </a:solidFill>
              <a:latin typeface="Calibri"/>
            </a:rPr>
            <a:t> Regelsätze ergeben sich aus §§ 20 und 23 SGB II iVm Regelsatztabelle.</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Das Erwerbseinkommen</a:t>
          </a:r>
          <a:r>
            <a:rPr lang="de-DE" sz="1100" b="0" strike="noStrike" spc="-1" baseline="0">
              <a:solidFill>
                <a:schemeClr val="dk1"/>
              </a:solidFill>
              <a:latin typeface="Calibri"/>
            </a:rPr>
            <a:t> von Frau A wird nach § 11b I - III SGB II bereinigt. Das Krankengeld ist Einkommensersatz. Es wird deshalb - obwohl es eine Sozialleistung ist - als Einkommen angerechnet (vgl. § 11b III SGB II). Ein Abzug der 100,- €-Pauschale nach § 11b II nicht statt (Arg.: Herr A ist nicht "erwerbs</a:t>
          </a:r>
          <a:r>
            <a:rPr lang="de-DE" sz="1100" b="1" strike="noStrike" spc="-1" baseline="0">
              <a:solidFill>
                <a:schemeClr val="dk1"/>
              </a:solidFill>
              <a:latin typeface="Calibri"/>
            </a:rPr>
            <a:t>tätig</a:t>
          </a:r>
          <a:r>
            <a:rPr lang="de-DE" sz="1100" b="0" strike="noStrike" spc="-1" baseline="0">
              <a:solidFill>
                <a:schemeClr val="dk1"/>
              </a:solidFill>
              <a:latin typeface="Calibri"/>
            </a:rPr>
            <a:t>"). Aus gleichem Grund kann der Abzugsbetrag nach § 11b III SGB II nicht geltend gemacht werden. Es kann aber eine Pauschale in Höhe von 30,- € für Versicherungen geltend gemacht werden (§ 11b I 1 Nr. 3 iVm § 6 I Nr. 1 Bügergeld-V).</a:t>
          </a:r>
        </a:p>
        <a:p>
          <a:pPr>
            <a:lnSpc>
              <a:spcPct val="100000"/>
            </a:lnSpc>
          </a:pPr>
          <a:endParaRPr lang="de-DE" sz="1100" b="0" strike="noStrike" spc="-1" baseline="0">
            <a:solidFill>
              <a:schemeClr val="dk1"/>
            </a:solidFill>
            <a:latin typeface="Calibri"/>
          </a:endParaRPr>
        </a:p>
        <a:p>
          <a:pPr>
            <a:lnSpc>
              <a:spcPct val="100000"/>
            </a:lnSpc>
          </a:pPr>
          <a:r>
            <a:rPr lang="de-DE" sz="1100" b="0" strike="noStrike" spc="-1" baseline="0">
              <a:solidFill>
                <a:schemeClr val="dk1"/>
              </a:solidFill>
              <a:latin typeface="Calibri"/>
            </a:rPr>
            <a:t>Die 10,- € Taschengeld von der Oma bleiben nach § 11a V SGB II unberücksichtigt.</a:t>
          </a:r>
        </a:p>
        <a:p>
          <a:pPr>
            <a:lnSpc>
              <a:spcPct val="100000"/>
            </a:lnSpc>
          </a:pPr>
          <a:r>
            <a:rPr lang="de-DE" sz="1100" b="0" strike="noStrike" spc="-1" baseline="0">
              <a:solidFill>
                <a:schemeClr val="dk1"/>
              </a:solidFill>
              <a:latin typeface="Calibri"/>
            </a:rPr>
            <a:t> </a:t>
          </a:r>
        </a:p>
        <a:p>
          <a:pPr>
            <a:lnSpc>
              <a:spcPct val="100000"/>
            </a:lnSpc>
          </a:pPr>
          <a:r>
            <a:rPr lang="de-DE" sz="1100" b="0" strike="noStrike" spc="-1" baseline="0">
              <a:solidFill>
                <a:schemeClr val="dk1"/>
              </a:solidFill>
              <a:latin typeface="Calibri"/>
            </a:rPr>
            <a:t>Die 15.200,- € Vermögen auf dem Sparbuch bleiben unberücksichtigt, weil die Freigrenze nach § 12 II SGB II von 15.000,- zwar von Frau. A überschritten wird, die Freigrenzen der Mitglieder der Bedarfsgemeinschaft jedoch zusammenzurechnen sind. Der Freibetrag der Bedargsgemeinschaft beträgt bei 5 Personen somit 75.000,- €.</a:t>
          </a:r>
          <a:endParaRPr lang="de-DE" sz="1100" b="0" strike="noStrike" spc="-1">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369000</xdr:colOff>
      <xdr:row>23</xdr:row>
      <xdr:rowOff>24120</xdr:rowOff>
    </xdr:from>
    <xdr:to>
      <xdr:col>9</xdr:col>
      <xdr:colOff>100800</xdr:colOff>
      <xdr:row>31</xdr:row>
      <xdr:rowOff>171720</xdr:rowOff>
    </xdr:to>
    <xdr:sp macro="" textlink="">
      <xdr:nvSpPr>
        <xdr:cNvPr id="13" name="Textfeld 1">
          <a:extLst>
            <a:ext uri="{FF2B5EF4-FFF2-40B4-BE49-F238E27FC236}">
              <a16:creationId xmlns:a16="http://schemas.microsoft.com/office/drawing/2014/main" id="{00000000-0008-0000-0D00-00000D000000}"/>
            </a:ext>
          </a:extLst>
        </xdr:cNvPr>
        <xdr:cNvSpPr/>
      </xdr:nvSpPr>
      <xdr:spPr>
        <a:xfrm>
          <a:off x="369000" y="5986800"/>
          <a:ext cx="6851520" cy="167148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(150*43 = 6450,-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9</xdr:col>
      <xdr:colOff>1064160</xdr:colOff>
      <xdr:row>32</xdr:row>
      <xdr:rowOff>171720</xdr:rowOff>
    </xdr:to>
    <xdr:sp macro="" textlink="">
      <xdr:nvSpPr>
        <xdr:cNvPr id="14" name="Textfeld 1">
          <a:extLst>
            <a:ext uri="{FF2B5EF4-FFF2-40B4-BE49-F238E27FC236}">
              <a16:creationId xmlns:a16="http://schemas.microsoft.com/office/drawing/2014/main" id="{00000000-0008-0000-0E00-00000E000000}"/>
            </a:ext>
          </a:extLst>
        </xdr:cNvPr>
        <xdr:cNvSpPr/>
      </xdr:nvSpPr>
      <xdr:spPr>
        <a:xfrm>
          <a:off x="369000" y="6177240"/>
          <a:ext cx="6851520" cy="167148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(150*43 = 6450,-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9</xdr:col>
      <xdr:colOff>52365</xdr:colOff>
      <xdr:row>26</xdr:row>
      <xdr:rowOff>1408175</xdr:rowOff>
    </xdr:to>
    <xdr:sp macro="" textlink="">
      <xdr:nvSpPr>
        <xdr:cNvPr id="15" name="Textfeld 1">
          <a:extLst>
            <a:ext uri="{FF2B5EF4-FFF2-40B4-BE49-F238E27FC236}">
              <a16:creationId xmlns:a16="http://schemas.microsoft.com/office/drawing/2014/main" id="{00000000-0008-0000-0F00-00000F000000}"/>
            </a:ext>
          </a:extLst>
        </xdr:cNvPr>
        <xdr:cNvSpPr/>
      </xdr:nvSpPr>
      <xdr:spPr>
        <a:xfrm>
          <a:off x="369000" y="8088620"/>
          <a:ext cx="7418900" cy="1765055"/>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K bilden eine Bedarfsgemeinschaft. Tim und Savina haben einen eigenen Anspruch auf AlG-II, weil sie bereits 15 Jhare alt sind. Jasmin ist erwerbsfähig und innerhalb der Altersgrenze (§ 7 Abs.1 iVm 7a und 8 SGB II. Die Prüfung ist deshalb auf Grundlage des SGB II vorzunehmen. Jonas erhlält Sozialgeld nach § 7 Abs.2 S.1  iVm § 23 SGB II. </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Der Mehrbedarfszuschlag richtet sich nach § 21 Abs.3</a:t>
          </a:r>
          <a:r>
            <a:rPr lang="de-DE" sz="1100" b="0" strike="noStrike" spc="-1" baseline="0">
              <a:solidFill>
                <a:schemeClr val="dk1"/>
              </a:solidFill>
              <a:latin typeface="Calibri"/>
            </a:rPr>
            <a:t> Nr. 2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Geldvermögen auf aller Beteiligter bleibt ist nicht zu berücksichtigen, weil es unterhalb der Freigrenzen liegt. Der PKW ist ebenfalls nicht zu berücksichtigen, weil sein Wert angemessen ist (&lt; 7.500,- €).</a:t>
          </a:r>
          <a:endParaRPr lang="de-DE" sz="1100" b="0" strike="noStrike" spc="-1">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11</xdr:col>
      <xdr:colOff>741554</xdr:colOff>
      <xdr:row>39</xdr:row>
      <xdr:rowOff>47963</xdr:rowOff>
    </xdr:to>
    <xdr:sp macro="" textlink="">
      <xdr:nvSpPr>
        <xdr:cNvPr id="2" name="Textfeld 1">
          <a:extLst>
            <a:ext uri="{FF2B5EF4-FFF2-40B4-BE49-F238E27FC236}">
              <a16:creationId xmlns:a16="http://schemas.microsoft.com/office/drawing/2014/main" id="{F370BD36-764E-2F47-B7D5-87560A67B4AF}"/>
            </a:ext>
          </a:extLst>
        </xdr:cNvPr>
        <xdr:cNvSpPr/>
      </xdr:nvSpPr>
      <xdr:spPr>
        <a:xfrm>
          <a:off x="369000" y="9539351"/>
          <a:ext cx="7377092" cy="2954612"/>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I bilden eine Bedarfsgemeinschaft nach § 7 Abs.</a:t>
          </a:r>
          <a:r>
            <a:rPr lang="de-DE" sz="1100" b="0" strike="noStrike" spc="-1" baseline="0">
              <a:solidFill>
                <a:schemeClr val="dk1"/>
              </a:solidFill>
              <a:latin typeface="Calibri"/>
            </a:rPr>
            <a:t>3 SGB II</a:t>
          </a:r>
          <a:r>
            <a:rPr lang="de-DE" sz="1100" b="0" strike="noStrike" spc="-1">
              <a:solidFill>
                <a:schemeClr val="dk1"/>
              </a:solidFill>
              <a:latin typeface="Calibri"/>
            </a:rPr>
            <a:t>. Die Prüfung ist auf Grundlage des SGB II vorzunehmen. Die Kinder erhalten Bürgergeld nach § 7 Abs.2 S.1  iVm § 23 SGB II. Ein Anspruch nach dem AsylbewLG besteht nicht, da die Familie nicht zum Personenkreis des § 1 AsylbLG gehört. Die Regelsätze werden nach Tabelle</a:t>
          </a:r>
          <a:r>
            <a:rPr lang="de-DE" sz="1100" b="0" strike="noStrike" spc="-1" baseline="0">
              <a:solidFill>
                <a:schemeClr val="dk1"/>
              </a:solidFill>
              <a:latin typeface="Calibri"/>
            </a:rPr>
            <a:t> berechnet. Kein Mehrbedarszuschlag. Bei den Wohnungskosten ist der Strom herauszurechnen. Er ist gem. § 20 I SGB II bereits im Regelsatz enthalten. Telefon und Internet sind ebenfalls bereits im Regelsatz enthalten und bleiben germ. § 20 I SGB II in der Rechnung deshalb unberücksichtigt. Im Übrigen werden die Wohnungskosten in tatsächlicher Höhe übernommen (§ 22 Abs. 1 SGB II) und nach Kopfteilen geteilt.</a:t>
          </a: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(20*251,46=5029,20 €) unterschreitet den Frau A zur Verfügung stehenden Freibetrag beim Vermögen gem. § 12 II</a:t>
          </a:r>
          <a:r>
            <a:rPr lang="de-DE" sz="1100" b="0" strike="noStrike" spc="-1" baseline="0">
              <a:solidFill>
                <a:schemeClr val="dk1"/>
              </a:solidFill>
              <a:latin typeface="Calibri"/>
            </a:rPr>
            <a:t> </a:t>
          </a:r>
          <a:r>
            <a:rPr lang="de-DE" sz="1100" b="0" strike="noStrike" spc="-1">
              <a:solidFill>
                <a:schemeClr val="dk1"/>
              </a:solidFill>
              <a:latin typeface="Calibri"/>
            </a:rPr>
            <a:t>SGB II 15.000</a:t>
          </a:r>
          <a:r>
            <a:rPr lang="de-DE" sz="1100" b="0" strike="noStrike" spc="-1" baseline="0">
              <a:solidFill>
                <a:schemeClr val="dk1"/>
              </a:solidFill>
              <a:latin typeface="Calibri"/>
            </a:rPr>
            <a:t> * 4</a:t>
          </a:r>
          <a:r>
            <a:rPr lang="de-DE" sz="1100" b="0" strike="noStrike" spc="-1">
              <a:solidFill>
                <a:schemeClr val="dk1"/>
              </a:solidFill>
              <a:latin typeface="Calibri"/>
            </a:rPr>
            <a:t>).</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Die Förderung des Vereins für den Crashkurs wird nicht angerechnet,</a:t>
          </a:r>
          <a:r>
            <a:rPr lang="de-DE" sz="1100" b="0" strike="noStrike" spc="-1" baseline="0">
              <a:solidFill>
                <a:schemeClr val="dk1"/>
              </a:solidFill>
              <a:latin typeface="Calibri"/>
            </a:rPr>
            <a:t> weil dieses gem. § 11a V SGB II grob unbillig wäre.</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4</xdr:col>
      <xdr:colOff>927169</xdr:colOff>
      <xdr:row>39</xdr:row>
      <xdr:rowOff>47963</xdr:rowOff>
    </xdr:to>
    <xdr:sp macro="" textlink="">
      <xdr:nvSpPr>
        <xdr:cNvPr id="2" name="Textfeld 1">
          <a:extLst>
            <a:ext uri="{FF2B5EF4-FFF2-40B4-BE49-F238E27FC236}">
              <a16:creationId xmlns:a16="http://schemas.microsoft.com/office/drawing/2014/main" id="{C0ADA845-90D9-1C42-8940-3120088C3A89}"/>
            </a:ext>
          </a:extLst>
        </xdr:cNvPr>
        <xdr:cNvSpPr/>
      </xdr:nvSpPr>
      <xdr:spPr>
        <a:xfrm>
          <a:off x="369000" y="5387428"/>
          <a:ext cx="7377092" cy="2954612"/>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Alima und Ihre Familie bilden eine Bedarfsgemeinschaft nach § 7 Abs.</a:t>
          </a:r>
          <a:r>
            <a:rPr lang="de-DE" sz="1100" b="0" strike="noStrike" spc="-1" baseline="0">
              <a:solidFill>
                <a:schemeClr val="dk1"/>
              </a:solidFill>
              <a:latin typeface="Calibri"/>
            </a:rPr>
            <a:t>3 SGB II</a:t>
          </a:r>
          <a:r>
            <a:rPr lang="de-DE" sz="1100" b="0" strike="noStrike" spc="-1">
              <a:solidFill>
                <a:schemeClr val="dk1"/>
              </a:solidFill>
              <a:latin typeface="Calibri"/>
            </a:rPr>
            <a:t>. Die Prüfung ist auf Grundlage des SGB II vorzunehmen. Die Kinder erhalten Bürgergeld nach § 7 Abs.2 S.1  iVm § 23 SGB II. Die Regelsätze werden nach Tabelle</a:t>
          </a:r>
          <a:r>
            <a:rPr lang="de-DE" sz="1100" b="0" strike="noStrike" spc="-1" baseline="0">
              <a:solidFill>
                <a:schemeClr val="dk1"/>
              </a:solidFill>
              <a:latin typeface="+mn-lt"/>
            </a:rPr>
            <a:t> berechnet. Alima erhält einen Mehrbedarfszuschlag, weil sie alleinerziehend ist. die Wohnungskosten in tatsächlicher Höhe übernommen (§ 22 Abs. 1 SGB II) und nach Kopfteilen getelit.</a:t>
          </a:r>
        </a:p>
        <a:p>
          <a:pPr>
            <a:lnSpc>
              <a:spcPct val="100000"/>
            </a:lnSpc>
          </a:pPr>
          <a:endParaRPr lang="de-DE" sz="1100" b="0" strike="noStrike" spc="-1" baseline="0">
            <a:solidFill>
              <a:schemeClr val="dk1"/>
            </a:solidFill>
            <a:latin typeface="+mn-lt"/>
          </a:endParaRPr>
        </a:p>
        <a:p>
          <a:pPr>
            <a:lnSpc>
              <a:spcPct val="100000"/>
            </a:lnSpc>
          </a:pPr>
          <a:r>
            <a:rPr lang="de-DE" sz="1100" b="0" strike="noStrike" spc="-1" baseline="0">
              <a:solidFill>
                <a:schemeClr val="dk1"/>
              </a:solidFill>
              <a:latin typeface="+mn-lt"/>
            </a:rPr>
            <a:t>Das Auto wird nicht als Vermöglen berücksichtigt, weil ein "angemessenes Kraftfahrzeug" nicht berücksichtigt wird. Der PKW ist acht Jahre alt und somit angemessen (Wert unter 7.500,- €). Geld für die Waschmaschine kann nach § 24 Abs. 1 SGB II als Darlehen gewährt werden. Die Sprotvereinsbeiträge können nach § 28 Abs. 7 SGB II übernommen werden.  </a:t>
          </a: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a:t>
          </a:r>
          <a:r>
            <a:rPr lang="de-DE" sz="1100" b="0" strike="noStrike" spc="-1" baseline="0">
              <a:solidFill>
                <a:schemeClr val="dk1"/>
              </a:solidFill>
              <a:latin typeface="Calibri"/>
            </a:rPr>
            <a:t> Sparbeträge der Kinder unterschreiten die Freibeträge der Kinder gem. § 12 Abs. 2 SGB II deutlich. Das Vermögen ist daher nicht zu berücksichtigen. </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401720</xdr:colOff>
      <xdr:row>26</xdr:row>
      <xdr:rowOff>48240</xdr:rowOff>
    </xdr:from>
    <xdr:to>
      <xdr:col>5</xdr:col>
      <xdr:colOff>1599880</xdr:colOff>
      <xdr:row>53</xdr:row>
      <xdr:rowOff>21418</xdr:rowOff>
    </xdr:to>
    <xdr:sp macro="" textlink="">
      <xdr:nvSpPr>
        <xdr:cNvPr id="9" name="Textfeld 2">
          <a:extLst>
            <a:ext uri="{FF2B5EF4-FFF2-40B4-BE49-F238E27FC236}">
              <a16:creationId xmlns:a16="http://schemas.microsoft.com/office/drawing/2014/main" id="{00000000-0008-0000-0900-000009000000}"/>
            </a:ext>
          </a:extLst>
        </xdr:cNvPr>
        <xdr:cNvSpPr/>
      </xdr:nvSpPr>
      <xdr:spPr>
        <a:xfrm>
          <a:off x="401720" y="4800157"/>
          <a:ext cx="6002993" cy="511667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Helvetica Neue"/>
            </a:rPr>
            <a:t>Erläuterung</a:t>
          </a:r>
          <a:r>
            <a:rPr lang="de-DE" sz="1100" b="0" strike="noStrike" spc="-1">
              <a:solidFill>
                <a:schemeClr val="dk1"/>
              </a:solidFill>
              <a:latin typeface="Helvetica Neue"/>
            </a:rPr>
            <a:t>:</a:t>
          </a:r>
          <a:r>
            <a:rPr lang="de-DE" sz="1200" b="0" strike="noStrike" spc="-1">
              <a:solidFill>
                <a:schemeClr val="dk1"/>
              </a:solidFill>
              <a:latin typeface="Helvetica Neue"/>
            </a:rPr>
            <a:t> </a:t>
          </a:r>
          <a:r>
            <a:rPr lang="de-DE" sz="1100" b="0" strike="noStrike" spc="-1">
              <a:solidFill>
                <a:schemeClr val="dk1"/>
              </a:solidFill>
              <a:latin typeface="Helvetica Neue"/>
            </a:rPr>
            <a:t>Regelsätze nach Tabelle. Frau A bildet mit ihren KIndern eine Bedarfsgemeinschaft.  nach § 7 Abs. 3 Nr. 3 b) SGB II. Die Schwester gehört nicht zur BG, das sie nicht „Partnerin“ ist. Die Kinder erhalten ebenfalls Bürgergeld nach § 19 Abs. 1 S. 2. Die Regelsätze richten sich nach §§ 20, 23 SGB II iVm VO zu § 28 SGB XII (siehe § 20 Abs. 1a SGB II).</a:t>
          </a:r>
          <a:r>
            <a:rPr lang="de-DE" sz="1200" b="0" strike="noStrike" spc="-1">
              <a:solidFill>
                <a:schemeClr val="dk1"/>
              </a:solidFill>
              <a:latin typeface="Helvetica Neue"/>
            </a:rPr>
            <a:t> </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Die Miete wird zunächst durch zwei (die Schwester verlangt die Hälfte der Miete) und dann durch 3 (nach Kopfteilen) geteilt.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Die Jugendmusikschule und das Sportvereinstraining könnten über Leistungen zur Bildung und Teilhabe nach § 28 Abs. 7 SGB II finanziert werden. Die erforderlichen Möbel müssen eigentlich über den Regelsatz finanziert werden. § 24 Abs. 3 S. 1 Nr. 1 gilt nicht, da es nicht um eine Erstausstattung geht. Frau A könnte aber ein Darlehen nach § 24 Abs. 1 S. 1 beantragen.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Hinsichtlich des Kindergeldes müsste Frau A bei der Familienkassen die Auszahlung an sich beantragen (§ 64 Abs.2 EStG).Unterhaltsvorschuss</a:t>
          </a:r>
          <a:r>
            <a:rPr lang="de-DE" sz="1100" b="0" strike="noStrike" spc="-1" baseline="0">
              <a:solidFill>
                <a:srgbClr val="000000"/>
              </a:solidFill>
              <a:latin typeface="Helvetica Neue"/>
            </a:rPr>
            <a:t> wurde nicht berücksichtigt, weil er nicht im Sachverhalt angegeben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Einkommensanrechnung und -bereinigung erfolgt nach §§ 11,  11a, 11b SGB II. Die Haftpflichtversicherung und die KFZ-Steuer sind in der 100-Euro-Pauschale enthalten.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Vermögensanrechnung wird nach § 12 SGB II geprüft. In der BG ist wegen des Freibetrages von 45.000,-  15.000 mal 3 kein überschüssiges Vermögen vorhanden. Der PKW wird nicht angerechnet, wenn dessen Wert &lt; 15.00,00 € ist.</a:t>
          </a:r>
          <a:r>
            <a:rPr lang="de-DE" sz="1200" b="0" strike="noStrike" spc="-1">
              <a:solidFill>
                <a:schemeClr val="dk1"/>
              </a:solidFill>
              <a:latin typeface="Helvetica Neue"/>
            </a:rPr>
            <a:t> </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Die Berechnung erfolgt nach der sog. "horizontal-vertikalen" Berechnungsmethode (BSG 12.6.2008, B 14 AS 55/07). Dabei wird das Kindereinkommen schon beim Bedarf berücksichtigt und verringern diesen. Dann werden die Bedarfe addiert und das überschüssige Geld auf alle Mitglieder der BG verteilt.</a:t>
          </a:r>
          <a:endParaRPr lang="de-DE"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29880</xdr:colOff>
      <xdr:row>22</xdr:row>
      <xdr:rowOff>121680</xdr:rowOff>
    </xdr:from>
    <xdr:to>
      <xdr:col>5</xdr:col>
      <xdr:colOff>104760</xdr:colOff>
      <xdr:row>38</xdr:row>
      <xdr:rowOff>110160</xdr:rowOff>
    </xdr:to>
    <xdr:sp macro="" textlink="">
      <xdr:nvSpPr>
        <xdr:cNvPr id="2" name="Textfeld 1">
          <a:extLst>
            <a:ext uri="{FF2B5EF4-FFF2-40B4-BE49-F238E27FC236}">
              <a16:creationId xmlns:a16="http://schemas.microsoft.com/office/drawing/2014/main" id="{00000000-0008-0000-0200-000002000000}"/>
            </a:ext>
          </a:extLst>
        </xdr:cNvPr>
        <xdr:cNvSpPr/>
      </xdr:nvSpPr>
      <xdr:spPr>
        <a:xfrm>
          <a:off x="29880" y="5842440"/>
          <a:ext cx="5879880" cy="3036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Partner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74880</xdr:colOff>
      <xdr:row>21</xdr:row>
      <xdr:rowOff>121680</xdr:rowOff>
    </xdr:from>
    <xdr:to>
      <xdr:col>5</xdr:col>
      <xdr:colOff>98640</xdr:colOff>
      <xdr:row>43</xdr:row>
      <xdr:rowOff>155160</xdr:rowOff>
    </xdr:to>
    <xdr:sp macro="" textlink="">
      <xdr:nvSpPr>
        <xdr:cNvPr id="2" name="Textfeld 1">
          <a:extLst>
            <a:ext uri="{FF2B5EF4-FFF2-40B4-BE49-F238E27FC236}">
              <a16:creationId xmlns:a16="http://schemas.microsoft.com/office/drawing/2014/main" id="{00000000-0008-0000-0300-000002000000}"/>
            </a:ext>
          </a:extLst>
        </xdr:cNvPr>
        <xdr:cNvSpPr/>
      </xdr:nvSpPr>
      <xdr:spPr>
        <a:xfrm>
          <a:off x="74880" y="5789160"/>
          <a:ext cx="6040440" cy="422424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Partner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Besonderheit zum vorhergehenden Fall ist, dass der Partner ein Einkommen hat, welches seinen eigenen Bedarf übersteigt (116,- €). Von diesem überschüssigen Einkommen muss sich Frau L einen Teil anrechnen lassen (). Nach § 9 Absatz 2 Satz 3 SGB II gilt: Ist in einer Bedarfsgemeinschaft nicht der gesamte Bedarf aus eigenen Kräften und Mitteln gedeckt, gilt jede Person der Bedarfsgemeinschaft im Verhältnis des eigenen Bedarfs zum Gesamtbedarf als hilfebedürftig.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Weil in der Bedarfsgemeinschaft nicht alle Bedarfe gedeckt sind, wird so getan, als ob auch der Partner von Frau L bedürftig ist. Sie muss sich deshalb nur die Hälfte seines Einkommens anrechnen lassen.</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254160</xdr:colOff>
      <xdr:row>23</xdr:row>
      <xdr:rowOff>128520</xdr:rowOff>
    </xdr:from>
    <xdr:to>
      <xdr:col>6</xdr:col>
      <xdr:colOff>132480</xdr:colOff>
      <xdr:row>62</xdr:row>
      <xdr:rowOff>139320</xdr:rowOff>
    </xdr:to>
    <xdr:sp macro="" textlink="">
      <xdr:nvSpPr>
        <xdr:cNvPr id="3" name="Textfeld 1">
          <a:extLst>
            <a:ext uri="{FF2B5EF4-FFF2-40B4-BE49-F238E27FC236}">
              <a16:creationId xmlns:a16="http://schemas.microsoft.com/office/drawing/2014/main" id="{00000000-0008-0000-0400-000003000000}"/>
            </a:ext>
          </a:extLst>
        </xdr:cNvPr>
        <xdr:cNvSpPr/>
      </xdr:nvSpPr>
      <xdr:spPr>
        <a:xfrm>
          <a:off x="254160" y="5691240"/>
          <a:ext cx="5954040" cy="74401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Kind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Mehrbedarf nach § 21 Absatz 3 Nr.1, da Frau L das Kind allein erzieht und das Kind unter 7 ist.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Der Unterhaltsvorschuss ist Einkommen des Kindes (§ 11 Absatz 1 Satz 1 SGB II). Ebenso das Kindergeld, weil das Kind das Kindergeld vollständig zur Sicherung seines eigenen Lebensunterhalts benötigt (§ 11 Absatz 1 Satz 4 SGB II)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380880</xdr:colOff>
      <xdr:row>47</xdr:row>
      <xdr:rowOff>114480</xdr:rowOff>
    </xdr:from>
    <xdr:to>
      <xdr:col>3</xdr:col>
      <xdr:colOff>809280</xdr:colOff>
      <xdr:row>86</xdr:row>
      <xdr:rowOff>125280</xdr:rowOff>
    </xdr:to>
    <xdr:sp macro="" textlink="">
      <xdr:nvSpPr>
        <xdr:cNvPr id="4" name="Textfeld 1">
          <a:extLst>
            <a:ext uri="{FF2B5EF4-FFF2-40B4-BE49-F238E27FC236}">
              <a16:creationId xmlns:a16="http://schemas.microsoft.com/office/drawing/2014/main" id="{00000000-0008-0000-0500-000004000000}"/>
            </a:ext>
          </a:extLst>
        </xdr:cNvPr>
        <xdr:cNvSpPr/>
      </xdr:nvSpPr>
      <xdr:spPr>
        <a:xfrm>
          <a:off x="380880" y="10534680"/>
          <a:ext cx="3060360" cy="744048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deren Partner bilden gemeinsam mit dem Kind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Kindergeld ist Einkommen des Kindes, weil das Kind das Kindergeld vollständig zur Sicherung seines eigenen Lebensunterhalts benötigt.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Bei Frau L gibt es einen Einkommensüberschuss.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 Teil dieses Einkommensüberschuss ist auf die bedürftigen Mitglieder der Bedarfsgemeinschaft zu verteilen.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Nach § 9 Absatz 2 Satz 3 SGB II gilt: Ist in einer Bedarfsgemeinschaft nicht der gesamte Bedarf aus eigenen Kräften und Mitteln gedeckt, gilt jede Person der Bedarfsgemeinschaft im Verhältnis des eigenen Bedarfs zum Gesamtbedarf als hilfebedürftig. Weil in der Bedarfsgemeinschaft nicht alle Bedarfe gedeckt sind, wird so getan, als ob auch Frau L bedürftig ist. Das Kind von Frau L und ihr Partner müssen sich deshalb nur einen Teil des Einkommens anrechnen lassen.</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 Deshalb wird der Bedarf schon bei der Einkommensverteilung um das Kindergeld reduziert.</a:t>
          </a:r>
          <a:endParaRPr lang="de-DE" sz="11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380880</xdr:colOff>
      <xdr:row>47</xdr:row>
      <xdr:rowOff>114480</xdr:rowOff>
    </xdr:from>
    <xdr:to>
      <xdr:col>3</xdr:col>
      <xdr:colOff>739080</xdr:colOff>
      <xdr:row>86</xdr:row>
      <xdr:rowOff>125280</xdr:rowOff>
    </xdr:to>
    <xdr:sp macro="" textlink="">
      <xdr:nvSpPr>
        <xdr:cNvPr id="5" name="Textfeld 1">
          <a:extLst>
            <a:ext uri="{FF2B5EF4-FFF2-40B4-BE49-F238E27FC236}">
              <a16:creationId xmlns:a16="http://schemas.microsoft.com/office/drawing/2014/main" id="{00000000-0008-0000-0600-000005000000}"/>
            </a:ext>
          </a:extLst>
        </xdr:cNvPr>
        <xdr:cNvSpPr/>
      </xdr:nvSpPr>
      <xdr:spPr>
        <a:xfrm>
          <a:off x="380880" y="13992480"/>
          <a:ext cx="2709720" cy="74401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erhält Sozialgeld.</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gehört nicht mit zur Bedarfsgemeinschaft. Gleichwohl werden die Kosten der Unterkunft nach Kopfteilen / Wohnung ermittelt (steht nicht im Gesetz, ist aber ständige Rechtsprechung).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Kein Mehrbedarf wg. Schwangerschaft.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Abzugsbeträge wg. berufsbedingter Aufwendungen sind nach § 11b Abs. 2 S. 2 iVm &amp; 6 Alg II-V (Flavio) bwz. nach § 11b III (Carlo) berechnet.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Berechnung für Flavio erfolgt trotz Krankheit nach dem dem SGB II, da er nicht "dauerhaft" (Prognose &lt; 6 Monate) erwerbsgemindert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Erstausstattung für Wohung wird nach § 24 III 1 Nr. 1 SGB II übernommen.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Gründung eines eigenen Hausstandes bei Personen U25: Hier wg. 20 V zulässig (Verbleib im Haushalt der Eltern nicht zumutbar).</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Bedarf des Kindes: 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 Deshalb wird der Bedarf von bei der Einkommensverteilung um das Kindergeld reduziert.</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twoCellAnchor>
    <xdr:from>
      <xdr:col>0</xdr:col>
      <xdr:colOff>380880</xdr:colOff>
      <xdr:row>47</xdr:row>
      <xdr:rowOff>114120</xdr:rowOff>
    </xdr:from>
    <xdr:to>
      <xdr:col>3</xdr:col>
      <xdr:colOff>739080</xdr:colOff>
      <xdr:row>91</xdr:row>
      <xdr:rowOff>96840</xdr:rowOff>
    </xdr:to>
    <xdr:sp macro="" textlink="">
      <xdr:nvSpPr>
        <xdr:cNvPr id="6" name="Textfeld 2">
          <a:extLst>
            <a:ext uri="{FF2B5EF4-FFF2-40B4-BE49-F238E27FC236}">
              <a16:creationId xmlns:a16="http://schemas.microsoft.com/office/drawing/2014/main" id="{00000000-0008-0000-0600-000006000000}"/>
            </a:ext>
          </a:extLst>
        </xdr:cNvPr>
        <xdr:cNvSpPr/>
      </xdr:nvSpPr>
      <xdr:spPr>
        <a:xfrm>
          <a:off x="380880" y="13992120"/>
          <a:ext cx="2709720" cy="8364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deren Partner bilden gemeinsam mit dem Kind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Kindergeld ist im vorliegenden Fall nicht Einkommen des Kindes, weil das Kind das Kindergeld nicht zur Sicherung seines eigenen Lebensunterhalts benötigt (§ 11 Absatz 1 Satz 4 SGB II). Es wird deshalb bei den Eltern als Einkommen berücksichtigt und zwar jeweils zur Hälfte.</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Beim Kind gibt es einen Einkommensüberschuss. Es erfolgt keine Anrechnung von Kindereinkommen auf Elternbedarf (vgl. § 9 Absatz 1 Satz 2 SGB II - Anrechung von Elterneinkommen auf Kinderbedarf aber nicht umgekehrt). Die Vorausssetzungen des § 9 Absatz 5 SGB II liegen nicht vor. Zu der in § 9 Absatz 5 SGB II geregelten Vermutung, gibt es eine Konkretisierung in § 1 Absatz 2 Alg II-V. Diejenige Person, von der vermutet wird, dasss Sie Leistungen an die anderen erbringt, könnte hier das 17-jährige Kind sein, denn Kinder sind mit ihren Eltern verwandt. Dem Kind steht jedoch ein Freibetrag zu. Dieser Freitbetrag ist höher als bei der Anrechung nach § 9 II SGB II. Um den Freibetrag zu berechnen muss man wie folgt rechnen: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Dopplter RS des Kindes plus anteilige Kosten der Unterkunft. Überschreitet dieser Betrag das bereinigte Einkommen (was hier der Fall ist) kommt es zu keiner Anrechung. Ist die Summe aus doppeltem RS und anteiligen Kosten der Unterkunft kleiner als das bereinigt Einkommen, ist die Summe zu halbieren. Der halbe Betrag ist dann bei den anderen Bedürftigen als Einkommen einzusetzen.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771840</xdr:colOff>
      <xdr:row>20</xdr:row>
      <xdr:rowOff>48960</xdr:rowOff>
    </xdr:from>
    <xdr:to>
      <xdr:col>6</xdr:col>
      <xdr:colOff>125280</xdr:colOff>
      <xdr:row>26</xdr:row>
      <xdr:rowOff>115560</xdr:rowOff>
    </xdr:to>
    <xdr:sp macro="" textlink="">
      <xdr:nvSpPr>
        <xdr:cNvPr id="7" name="Textfeld 1">
          <a:extLst>
            <a:ext uri="{FF2B5EF4-FFF2-40B4-BE49-F238E27FC236}">
              <a16:creationId xmlns:a16="http://schemas.microsoft.com/office/drawing/2014/main" id="{00000000-0008-0000-0700-000007000000}"/>
            </a:ext>
          </a:extLst>
        </xdr:cNvPr>
        <xdr:cNvSpPr/>
      </xdr:nvSpPr>
      <xdr:spPr>
        <a:xfrm>
          <a:off x="771840" y="3868560"/>
          <a:ext cx="5279760" cy="1209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0" strike="noStrike" spc="-1">
              <a:solidFill>
                <a:schemeClr val="dk1"/>
              </a:solidFill>
              <a:latin typeface="Calibri"/>
            </a:rPr>
            <a:t>Bei den Eltern übersteiben die Freibträge das Vermögen. Beim Kind übersteigt das Vermögen die Freibeträge nach § 12 II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PKW ist bis zu einem Betrag von 15.000,- € geschont (vgl. § 12 I Nr. 2: "angemessen"). Die Küche ist als Hausrat geschützt (§ 12 I Nr. 1). Die Verwertung des Erbstücks ist unzumutbar und unwirtschaftlich, vgl. § 12 I Nr. 7 SGB II. </a:t>
          </a:r>
          <a:endParaRPr lang="de-DE" sz="11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396000</xdr:colOff>
      <xdr:row>20</xdr:row>
      <xdr:rowOff>181440</xdr:rowOff>
    </xdr:from>
    <xdr:to>
      <xdr:col>6</xdr:col>
      <xdr:colOff>47520</xdr:colOff>
      <xdr:row>59</xdr:row>
      <xdr:rowOff>188640</xdr:rowOff>
    </xdr:to>
    <xdr:sp macro="" textlink="">
      <xdr:nvSpPr>
        <xdr:cNvPr id="8" name="Textfeld 1">
          <a:extLst>
            <a:ext uri="{FF2B5EF4-FFF2-40B4-BE49-F238E27FC236}">
              <a16:creationId xmlns:a16="http://schemas.microsoft.com/office/drawing/2014/main" id="{00000000-0008-0000-0800-000008000000}"/>
            </a:ext>
          </a:extLst>
        </xdr:cNvPr>
        <xdr:cNvSpPr/>
      </xdr:nvSpPr>
      <xdr:spPr>
        <a:xfrm>
          <a:off x="396000" y="4725000"/>
          <a:ext cx="4657320" cy="74365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Antje und Susanne bilden eine Bedarfsgemeinschaft nach § 7 Abs. 3 Nr. 3 b) SGB II. Die Kinder erhalten Sozialgeld. Nach § 19 Abs. 1 S. 2. Die Regelsätze richten sich nach §§ 20, 23 SGB II iVm VO zu § 28 SGB XII (siehe § 20 Abs. 1a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 Pflegegeld wird nicht angerechnet, da es sich um eine zweckbestimmte Leistung nach § 11a Abs. 3 SGB II handelt.  Abzugsbeträge wg. berufsbedingter Aufwendungen sind nach § 11b Abs. 2 S. 2 iVm &amp; 6 Alg II-V berechnet.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Vermögensanrechnung wird nach § 12 SGB II geprüft. In der BG ist kein überschüssiges Vermögen vorhanden. Der PKW wird nicht angerechnet, da dessen Wert &lt; 7.500,00 €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Besonderheit der Variante: 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223920</xdr:colOff>
      <xdr:row>27</xdr:row>
      <xdr:rowOff>12240</xdr:rowOff>
    </xdr:from>
    <xdr:to>
      <xdr:col>6</xdr:col>
      <xdr:colOff>733754</xdr:colOff>
      <xdr:row>37</xdr:row>
      <xdr:rowOff>90097</xdr:rowOff>
    </xdr:to>
    <xdr:sp macro="" textlink="">
      <xdr:nvSpPr>
        <xdr:cNvPr id="10" name="Textfeld 3">
          <a:extLst>
            <a:ext uri="{FF2B5EF4-FFF2-40B4-BE49-F238E27FC236}">
              <a16:creationId xmlns:a16="http://schemas.microsoft.com/office/drawing/2014/main" id="{00000000-0008-0000-0A00-00000A000000}"/>
            </a:ext>
          </a:extLst>
        </xdr:cNvPr>
        <xdr:cNvSpPr/>
      </xdr:nvSpPr>
      <xdr:spPr>
        <a:xfrm>
          <a:off x="223920" y="5393029"/>
          <a:ext cx="6071097" cy="201627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r>
            <a:rPr lang="de-DE" sz="1200" b="0" strike="noStrike" spc="-1">
              <a:solidFill>
                <a:schemeClr val="dk1"/>
              </a:solidFill>
              <a:latin typeface="Calibri"/>
            </a:rPr>
            <a:t> </a:t>
          </a:r>
          <a:r>
            <a:rPr lang="de-DE" sz="1100" b="0" strike="noStrike" spc="-1">
              <a:solidFill>
                <a:schemeClr val="dk1"/>
              </a:solidFill>
              <a:latin typeface="Calibri"/>
            </a:rPr>
            <a:t>Regelsätze nach Tabelle. Antje und Susanne bilden eine Bedarfsgemeinschaft nach § 7 Abs. 3 Nr. 3 b) SGB II. Die Kinder erhalten ebenfalls Bürgergeld. Nach § 19 Abs. 1 S. 2. Die Regelsätze richten sich nach §§ 20, 23 SGB II iVm VO zu § 28 SGB XII (siehe § 20 Abs. 1a SGB II).</a:t>
          </a:r>
          <a:r>
            <a:rPr lang="de-DE" sz="1200" b="0" strike="noStrike" spc="-1">
              <a:solidFill>
                <a:schemeClr val="dk1"/>
              </a:solidFill>
              <a:latin typeface="Calibri"/>
            </a:rPr>
            <a:t> </a:t>
          </a: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 Pflegegeld wird nicht angerechnet, da es sich um eine zweckbestimmte Leistung nach § 11a Abs. 3 SGB II handelt.  </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Vermögensanrechnung wird nach § 12 SGB II geprüft. In der BG ist kein überschüssiges Vermögen vorhanden. Der PKW wird nicht angerechnet, da dessen Wert &lt; 15.000 € ist.</a:t>
          </a:r>
          <a:r>
            <a:rPr lang="de-DE" sz="1200" b="0" strike="noStrike" spc="-1">
              <a:solidFill>
                <a:schemeClr val="dk1"/>
              </a:solidFill>
              <a:latin typeface="Calibri"/>
            </a:rPr>
            <a:t> </a:t>
          </a:r>
          <a:endParaRPr lang="de-DE" sz="1200" b="0" strike="noStrike" spc="-1">
            <a:latin typeface="Times New Roman"/>
          </a:endParaRPr>
        </a:p>
      </xdr:txBody>
    </xdr:sp>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zoomScale="200" zoomScaleNormal="200" workbookViewId="0">
      <selection activeCell="C6" sqref="C6"/>
    </sheetView>
  </sheetViews>
  <sheetFormatPr baseColWidth="10" defaultColWidth="10.5" defaultRowHeight="15" x14ac:dyDescent="0.2"/>
  <cols>
    <col min="1" max="1" width="82" customWidth="1"/>
    <col min="2" max="2" width="15.83203125" customWidth="1"/>
  </cols>
  <sheetData>
    <row r="1" spans="1:9" x14ac:dyDescent="0.2">
      <c r="A1" s="191" t="s">
        <v>124</v>
      </c>
      <c r="B1" s="191"/>
      <c r="C1" s="191">
        <v>2025</v>
      </c>
    </row>
    <row r="2" spans="1:9" x14ac:dyDescent="0.2">
      <c r="B2" s="5" t="s">
        <v>0</v>
      </c>
      <c r="C2" s="5" t="s">
        <v>1</v>
      </c>
    </row>
    <row r="3" spans="1:9" x14ac:dyDescent="0.2">
      <c r="A3" s="183" t="s">
        <v>2</v>
      </c>
      <c r="B3" s="184" t="s">
        <v>3</v>
      </c>
      <c r="C3" s="185">
        <v>563</v>
      </c>
    </row>
    <row r="4" spans="1:9" x14ac:dyDescent="0.2">
      <c r="A4" s="188" t="s">
        <v>4</v>
      </c>
      <c r="B4" s="189" t="s">
        <v>5</v>
      </c>
      <c r="C4" s="190">
        <v>506</v>
      </c>
    </row>
    <row r="5" spans="1:9" x14ac:dyDescent="0.2">
      <c r="A5" s="183" t="s">
        <v>105</v>
      </c>
      <c r="B5" s="184" t="s">
        <v>6</v>
      </c>
      <c r="C5" s="185">
        <v>451</v>
      </c>
    </row>
    <row r="6" spans="1:9" x14ac:dyDescent="0.2">
      <c r="A6" s="188" t="s">
        <v>7</v>
      </c>
      <c r="B6" s="189" t="s">
        <v>8</v>
      </c>
      <c r="C6" s="190">
        <v>471</v>
      </c>
    </row>
    <row r="7" spans="1:9" x14ac:dyDescent="0.2">
      <c r="A7" s="183" t="s">
        <v>9</v>
      </c>
      <c r="B7" s="186" t="s">
        <v>10</v>
      </c>
      <c r="C7" s="187">
        <v>390</v>
      </c>
    </row>
    <row r="8" spans="1:9" x14ac:dyDescent="0.2">
      <c r="A8" s="188" t="s">
        <v>11</v>
      </c>
      <c r="B8" s="189" t="s">
        <v>12</v>
      </c>
      <c r="C8" s="190">
        <v>357</v>
      </c>
    </row>
    <row r="9" spans="1:9" x14ac:dyDescent="0.2">
      <c r="E9" s="6"/>
    </row>
    <row r="10" spans="1:9" x14ac:dyDescent="0.2">
      <c r="B10" t="s">
        <v>14</v>
      </c>
      <c r="C10" t="s">
        <v>15</v>
      </c>
      <c r="D10" t="s">
        <v>16</v>
      </c>
      <c r="E10" s="6"/>
    </row>
    <row r="11" spans="1:9" x14ac:dyDescent="0.2">
      <c r="A11" s="6" t="s">
        <v>13</v>
      </c>
      <c r="B11">
        <v>255</v>
      </c>
      <c r="C11">
        <v>250</v>
      </c>
      <c r="D11">
        <v>250</v>
      </c>
    </row>
    <row r="13" spans="1:9" x14ac:dyDescent="0.2">
      <c r="A13" t="s">
        <v>17</v>
      </c>
      <c r="B13">
        <v>25</v>
      </c>
    </row>
    <row r="14" spans="1:9" ht="25" x14ac:dyDescent="0.25">
      <c r="G14" s="7"/>
      <c r="H14" s="8"/>
    </row>
    <row r="15" spans="1:9" ht="25" x14ac:dyDescent="0.25">
      <c r="G15" s="8"/>
      <c r="H15" s="7"/>
      <c r="I15" s="8"/>
    </row>
    <row r="16" spans="1:9" ht="25" x14ac:dyDescent="0.25">
      <c r="G16" s="8"/>
      <c r="H16" s="7"/>
      <c r="I16" s="8"/>
    </row>
    <row r="17" spans="7:9" ht="25" x14ac:dyDescent="0.25">
      <c r="G17" s="8"/>
      <c r="H17" s="7"/>
      <c r="I17" s="8"/>
    </row>
    <row r="18" spans="7:9" ht="25" x14ac:dyDescent="0.25">
      <c r="G18" s="8"/>
      <c r="H18" s="7"/>
      <c r="I18" s="8"/>
    </row>
    <row r="19" spans="7:9" ht="25" x14ac:dyDescent="0.25">
      <c r="G19" s="8"/>
      <c r="H19" s="7"/>
      <c r="I19" s="8"/>
    </row>
    <row r="20" spans="7:9" ht="25" x14ac:dyDescent="0.25">
      <c r="G20" s="8"/>
      <c r="H20" s="7"/>
    </row>
  </sheetData>
  <pageMargins left="0.7" right="0.7" top="0.78749999999999998" bottom="0.78749999999999998"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1"/>
  <sheetViews>
    <sheetView topLeftCell="A25" zoomScaleNormal="100" workbookViewId="0">
      <selection activeCell="G17" sqref="G17"/>
    </sheetView>
  </sheetViews>
  <sheetFormatPr baseColWidth="10" defaultColWidth="10.5" defaultRowHeight="15" x14ac:dyDescent="0.2"/>
  <cols>
    <col min="2" max="2" width="13.5" customWidth="1"/>
    <col min="3" max="3" width="10.6640625" customWidth="1"/>
    <col min="4" max="4" width="11.33203125" customWidth="1"/>
    <col min="5" max="6" width="12.5" customWidth="1"/>
    <col min="7" max="7" width="23.83203125" customWidth="1"/>
  </cols>
  <sheetData>
    <row r="1" spans="1:7" x14ac:dyDescent="0.2">
      <c r="A1" s="9"/>
      <c r="B1" s="10" t="s">
        <v>18</v>
      </c>
      <c r="C1" s="10" t="s">
        <v>41</v>
      </c>
      <c r="D1" s="10" t="s">
        <v>47</v>
      </c>
      <c r="E1" s="10" t="s">
        <v>50</v>
      </c>
      <c r="F1" s="10" t="s">
        <v>42</v>
      </c>
      <c r="G1" s="10" t="s">
        <v>19</v>
      </c>
    </row>
    <row r="2" spans="1:7" x14ac:dyDescent="0.2">
      <c r="A2" s="11"/>
      <c r="B2" s="12" t="s">
        <v>65</v>
      </c>
      <c r="C2" s="12" t="s">
        <v>66</v>
      </c>
      <c r="D2" s="12" t="s">
        <v>67</v>
      </c>
      <c r="E2" s="12" t="s">
        <v>68</v>
      </c>
      <c r="F2" s="12"/>
      <c r="G2" s="12"/>
    </row>
    <row r="3" spans="1:7" ht="16" x14ac:dyDescent="0.2">
      <c r="A3" s="220" t="s">
        <v>21</v>
      </c>
      <c r="B3" s="78">
        <v>404</v>
      </c>
      <c r="C3" s="79">
        <v>404</v>
      </c>
      <c r="D3" s="79">
        <f>Regelsätze!C6</f>
        <v>471</v>
      </c>
      <c r="E3" s="79">
        <f>Regelsätze!C8</f>
        <v>357</v>
      </c>
      <c r="F3" s="79"/>
      <c r="G3" s="80" t="s">
        <v>22</v>
      </c>
    </row>
    <row r="4" spans="1:7" ht="16" x14ac:dyDescent="0.2">
      <c r="A4" s="220"/>
      <c r="B4" s="81">
        <v>0</v>
      </c>
      <c r="C4" s="26">
        <v>0</v>
      </c>
      <c r="D4" s="26">
        <v>0</v>
      </c>
      <c r="E4" s="26">
        <v>0</v>
      </c>
      <c r="F4" s="26"/>
      <c r="G4" s="82" t="s">
        <v>23</v>
      </c>
    </row>
    <row r="5" spans="1:7" ht="16" x14ac:dyDescent="0.2">
      <c r="A5" s="220"/>
      <c r="B5" s="81">
        <f>(857-77)/4</f>
        <v>195</v>
      </c>
      <c r="C5" s="81">
        <f>(857-77)/4</f>
        <v>195</v>
      </c>
      <c r="D5" s="81">
        <f>(857-77)/4</f>
        <v>195</v>
      </c>
      <c r="E5" s="81">
        <f>(857-77)/4</f>
        <v>195</v>
      </c>
      <c r="F5" s="81"/>
      <c r="G5" s="82" t="s">
        <v>24</v>
      </c>
    </row>
    <row r="6" spans="1:7" ht="16" x14ac:dyDescent="0.2">
      <c r="A6" s="220"/>
      <c r="B6" s="81">
        <f>SUM(B3:B5)</f>
        <v>599</v>
      </c>
      <c r="C6" s="26">
        <f>SUM(C3:C5)</f>
        <v>599</v>
      </c>
      <c r="D6" s="26">
        <f>SUM(D3:D5)</f>
        <v>666</v>
      </c>
      <c r="E6" s="26">
        <f>SUM(E3:E5)</f>
        <v>552</v>
      </c>
      <c r="F6" s="26">
        <f>SUM(B6:E6)</f>
        <v>2416</v>
      </c>
      <c r="G6" s="82" t="s">
        <v>25</v>
      </c>
    </row>
    <row r="7" spans="1:7" ht="16" x14ac:dyDescent="0.2">
      <c r="A7" s="220"/>
      <c r="B7" s="50">
        <f>B6/F6</f>
        <v>0.24793046357615894</v>
      </c>
      <c r="C7" s="50">
        <f>C6/F6</f>
        <v>0.24793046357615894</v>
      </c>
      <c r="D7" s="50">
        <f>D6/F6</f>
        <v>0.27566225165562913</v>
      </c>
      <c r="E7" s="50">
        <f>E6/F6</f>
        <v>0.22847682119205298</v>
      </c>
      <c r="F7" s="50">
        <f>SUM(B7:E7)</f>
        <v>1</v>
      </c>
      <c r="G7" s="27" t="s">
        <v>44</v>
      </c>
    </row>
    <row r="8" spans="1:7" x14ac:dyDescent="0.2">
      <c r="A8" s="1" t="s">
        <v>13</v>
      </c>
      <c r="B8" s="83"/>
      <c r="C8" s="24"/>
      <c r="D8" s="24">
        <f>Regelsätze!B11</f>
        <v>255</v>
      </c>
      <c r="E8" s="24">
        <f>Regelsätze!B11</f>
        <v>255</v>
      </c>
      <c r="F8" s="24">
        <f>SUM(B8:E8)</f>
        <v>510</v>
      </c>
      <c r="G8" s="22"/>
    </row>
    <row r="9" spans="1:7" ht="32" x14ac:dyDescent="0.2">
      <c r="A9" s="25" t="s">
        <v>69</v>
      </c>
      <c r="B9" s="24">
        <f>B3+B4+B5-B8</f>
        <v>599</v>
      </c>
      <c r="C9" s="26">
        <f>C3+C4+C5-C8</f>
        <v>599</v>
      </c>
      <c r="D9" s="26">
        <f>D3+D4+D5-D8</f>
        <v>411</v>
      </c>
      <c r="E9" s="26">
        <f>E3+E4+E5-E8</f>
        <v>297</v>
      </c>
      <c r="F9" s="26">
        <f>SUM(B9:E9)</f>
        <v>1906</v>
      </c>
      <c r="G9" s="82"/>
    </row>
    <row r="10" spans="1:7" ht="16" x14ac:dyDescent="0.2">
      <c r="A10" s="220" t="s">
        <v>29</v>
      </c>
      <c r="B10" s="42">
        <v>0</v>
      </c>
      <c r="C10" s="78">
        <v>2503</v>
      </c>
      <c r="D10" s="78">
        <v>0</v>
      </c>
      <c r="E10" s="78">
        <f>0</f>
        <v>0</v>
      </c>
      <c r="F10" s="78"/>
      <c r="G10" s="80" t="s">
        <v>30</v>
      </c>
    </row>
    <row r="11" spans="1:7" ht="16" x14ac:dyDescent="0.2">
      <c r="A11" s="220"/>
      <c r="B11" s="42">
        <v>0</v>
      </c>
      <c r="C11" s="81">
        <v>1940</v>
      </c>
      <c r="D11" s="81">
        <v>0</v>
      </c>
      <c r="E11" s="81">
        <v>0</v>
      </c>
      <c r="F11" s="81"/>
      <c r="G11" s="82" t="s">
        <v>31</v>
      </c>
    </row>
    <row r="12" spans="1:7" ht="32" x14ac:dyDescent="0.2">
      <c r="A12" s="220"/>
      <c r="B12" s="42">
        <v>0</v>
      </c>
      <c r="C12" s="81">
        <f>30+(0.2*26*22)</f>
        <v>144.4</v>
      </c>
      <c r="D12" s="81">
        <v>0</v>
      </c>
      <c r="E12" s="84">
        <v>0</v>
      </c>
      <c r="F12" s="84"/>
      <c r="G12" s="82" t="s">
        <v>70</v>
      </c>
    </row>
    <row r="13" spans="1:7" ht="16" x14ac:dyDescent="0.2">
      <c r="A13" s="220"/>
      <c r="B13" s="42">
        <v>0</v>
      </c>
      <c r="C13" s="81"/>
      <c r="D13" s="81">
        <v>0</v>
      </c>
      <c r="E13" s="81">
        <v>0</v>
      </c>
      <c r="F13" s="81"/>
      <c r="G13" s="82" t="s">
        <v>34</v>
      </c>
    </row>
    <row r="14" spans="1:7" ht="16" x14ac:dyDescent="0.2">
      <c r="A14" s="220"/>
      <c r="B14" s="42">
        <v>0</v>
      </c>
      <c r="C14" s="81">
        <f>900*0.2+500*0.1</f>
        <v>230</v>
      </c>
      <c r="D14" s="81">
        <v>0</v>
      </c>
      <c r="E14" s="81">
        <v>0</v>
      </c>
      <c r="F14" s="81"/>
      <c r="G14" s="82" t="s">
        <v>35</v>
      </c>
    </row>
    <row r="15" spans="1:7" ht="16" x14ac:dyDescent="0.2">
      <c r="A15" s="220"/>
      <c r="B15" s="42">
        <v>0</v>
      </c>
      <c r="C15" s="85">
        <f>C11-C12-C13-C14</f>
        <v>1565.6</v>
      </c>
      <c r="D15" s="85">
        <f>D11-D12-D13-D14</f>
        <v>0</v>
      </c>
      <c r="E15" s="85">
        <f>E11-E12-E13-E14</f>
        <v>0</v>
      </c>
      <c r="F15" s="85">
        <f>SUM(C15:E15)</f>
        <v>1565.6</v>
      </c>
      <c r="G15" s="27" t="s">
        <v>25</v>
      </c>
    </row>
    <row r="16" spans="1:7" ht="32" x14ac:dyDescent="0.2">
      <c r="A16" s="34" t="s">
        <v>71</v>
      </c>
      <c r="B16" s="24">
        <f>F15*B7</f>
        <v>388.15993377483443</v>
      </c>
      <c r="C16" s="24">
        <f>F15*C7</f>
        <v>388.15993377483443</v>
      </c>
      <c r="D16" s="24">
        <f>F15*D7</f>
        <v>431.57682119205293</v>
      </c>
      <c r="E16" s="24">
        <f>F15*E7</f>
        <v>357.70331125827812</v>
      </c>
      <c r="F16" s="24">
        <f>SUM(B16:E16)</f>
        <v>1565.6</v>
      </c>
      <c r="G16" s="22"/>
    </row>
    <row r="17" spans="1:8" ht="16" x14ac:dyDescent="0.2">
      <c r="A17" s="86" t="s">
        <v>72</v>
      </c>
      <c r="B17" s="35">
        <f>B9-B16</f>
        <v>210.84006622516557</v>
      </c>
      <c r="C17" s="35">
        <f>C9-C16</f>
        <v>210.84006622516557</v>
      </c>
      <c r="D17" s="35">
        <f>D9-D16</f>
        <v>-20.576821192052932</v>
      </c>
      <c r="E17" s="35">
        <f>E9-E16</f>
        <v>-60.70331125827812</v>
      </c>
      <c r="F17" s="24">
        <f>SUM(B17:E17)</f>
        <v>340.40000000000009</v>
      </c>
      <c r="G17" s="22" t="s">
        <v>38</v>
      </c>
    </row>
    <row r="18" spans="1:8" x14ac:dyDescent="0.2">
      <c r="B18" s="40"/>
      <c r="C18" s="4"/>
      <c r="D18" s="4"/>
      <c r="E18" s="4"/>
      <c r="F18" s="4"/>
      <c r="G18" s="87"/>
    </row>
    <row r="19" spans="1:8" x14ac:dyDescent="0.2">
      <c r="B19" s="40"/>
      <c r="C19" s="4"/>
      <c r="D19" s="4"/>
      <c r="E19" s="4"/>
      <c r="F19" s="4"/>
      <c r="G19" s="87"/>
    </row>
    <row r="20" spans="1:8" x14ac:dyDescent="0.2">
      <c r="B20" s="4"/>
      <c r="C20" s="4"/>
      <c r="D20" s="4"/>
      <c r="E20" s="4"/>
      <c r="F20" s="4"/>
      <c r="G20" s="87"/>
    </row>
    <row r="21" spans="1:8" x14ac:dyDescent="0.2">
      <c r="B21" s="40"/>
      <c r="C21" s="3"/>
      <c r="D21" s="3"/>
      <c r="E21" s="3"/>
      <c r="F21" s="3"/>
      <c r="G21" s="40"/>
    </row>
    <row r="22" spans="1:8" x14ac:dyDescent="0.2">
      <c r="B22" s="4"/>
      <c r="C22" s="4"/>
      <c r="D22" s="4"/>
      <c r="E22" s="4"/>
      <c r="F22" s="4"/>
      <c r="G22" s="87"/>
    </row>
    <row r="23" spans="1:8" x14ac:dyDescent="0.2">
      <c r="B23" s="4"/>
      <c r="C23" s="4"/>
      <c r="D23" s="4"/>
      <c r="E23" s="4"/>
      <c r="F23" s="4"/>
      <c r="G23" s="87"/>
    </row>
    <row r="24" spans="1:8" x14ac:dyDescent="0.2">
      <c r="B24" s="38"/>
      <c r="C24" s="39"/>
      <c r="D24" s="58"/>
      <c r="E24" s="39"/>
      <c r="F24" s="39"/>
      <c r="G24" s="87"/>
    </row>
    <row r="25" spans="1:8" s="6" customFormat="1" x14ac:dyDescent="0.2">
      <c r="A25"/>
      <c r="B25" s="4"/>
      <c r="C25" s="4"/>
      <c r="D25" s="4"/>
      <c r="E25" s="4"/>
      <c r="F25" s="4"/>
      <c r="G25" s="87"/>
      <c r="H25"/>
    </row>
    <row r="26" spans="1:8" x14ac:dyDescent="0.2">
      <c r="A26" s="6"/>
      <c r="B26" s="40"/>
      <c r="C26" s="3"/>
      <c r="D26" s="3"/>
      <c r="E26" s="3"/>
      <c r="F26" s="3"/>
      <c r="G26" s="40"/>
      <c r="H26" s="6"/>
    </row>
    <row r="27" spans="1:8" x14ac:dyDescent="0.2">
      <c r="B27" s="216"/>
      <c r="C27" s="216"/>
      <c r="D27" s="4"/>
      <c r="E27" s="4"/>
      <c r="F27" s="4"/>
      <c r="G27" s="87"/>
    </row>
    <row r="28" spans="1:8" x14ac:dyDescent="0.2">
      <c r="B28" s="4"/>
      <c r="C28" s="4"/>
      <c r="D28" s="4"/>
      <c r="E28" s="4"/>
      <c r="F28" s="4"/>
      <c r="G28" s="87"/>
    </row>
    <row r="29" spans="1:8" s="6" customFormat="1" x14ac:dyDescent="0.2">
      <c r="A29"/>
      <c r="B29" s="4"/>
      <c r="C29" s="4"/>
      <c r="D29" s="4"/>
      <c r="E29" s="4"/>
      <c r="F29" s="4"/>
      <c r="G29" s="87"/>
      <c r="H29"/>
    </row>
    <row r="30" spans="1:8" x14ac:dyDescent="0.2">
      <c r="A30" s="6"/>
      <c r="B30" s="3"/>
      <c r="C30" s="3"/>
      <c r="D30" s="3"/>
      <c r="E30" s="3"/>
      <c r="F30" s="3"/>
      <c r="G30" s="40"/>
      <c r="H30" s="6"/>
    </row>
    <row r="31" spans="1:8" x14ac:dyDescent="0.2">
      <c r="C31" s="4"/>
      <c r="D31" s="4"/>
      <c r="G31" s="87"/>
    </row>
    <row r="32" spans="1:8" x14ac:dyDescent="0.2">
      <c r="B32" s="3"/>
      <c r="C32" s="3"/>
      <c r="D32" s="3"/>
      <c r="E32" s="3"/>
      <c r="F32" s="3"/>
      <c r="G32" s="87"/>
    </row>
    <row r="33" spans="1:8" x14ac:dyDescent="0.2">
      <c r="B33" s="3"/>
      <c r="C33" s="3"/>
      <c r="D33" s="3"/>
      <c r="E33" s="3"/>
      <c r="F33" s="3"/>
      <c r="G33" s="87"/>
    </row>
    <row r="34" spans="1:8" x14ac:dyDescent="0.2">
      <c r="B34" s="3"/>
      <c r="C34" s="3"/>
      <c r="D34" s="3"/>
      <c r="E34" s="3"/>
      <c r="F34" s="3"/>
      <c r="G34" s="87"/>
    </row>
    <row r="35" spans="1:8" x14ac:dyDescent="0.2">
      <c r="B35" s="3"/>
      <c r="C35" s="3"/>
      <c r="D35" s="3"/>
      <c r="E35" s="3"/>
      <c r="F35" s="3"/>
      <c r="G35" s="87"/>
    </row>
    <row r="36" spans="1:8" x14ac:dyDescent="0.2">
      <c r="B36" s="4"/>
      <c r="C36" s="4"/>
      <c r="D36" s="4"/>
      <c r="E36" s="63"/>
      <c r="F36" s="63"/>
      <c r="G36" s="87"/>
    </row>
    <row r="37" spans="1:8" x14ac:dyDescent="0.2">
      <c r="B37" s="4"/>
      <c r="C37" s="4"/>
      <c r="D37" s="4"/>
      <c r="E37" s="4"/>
      <c r="F37" s="4"/>
      <c r="G37" s="4"/>
    </row>
    <row r="38" spans="1:8" s="6" customFormat="1" x14ac:dyDescent="0.2">
      <c r="A38"/>
      <c r="B38" s="217"/>
      <c r="C38" s="217"/>
      <c r="D38" s="3"/>
      <c r="E38" s="4"/>
      <c r="F38" s="4"/>
      <c r="G38" s="4"/>
      <c r="H38"/>
    </row>
    <row r="39" spans="1:8" x14ac:dyDescent="0.2">
      <c r="A39" s="6"/>
      <c r="B39" s="41"/>
      <c r="C39" s="41"/>
      <c r="D39" s="41"/>
      <c r="E39" s="41"/>
      <c r="F39" s="41"/>
      <c r="G39" s="3"/>
      <c r="H39" s="6"/>
    </row>
    <row r="40" spans="1:8" x14ac:dyDescent="0.2">
      <c r="B40" s="42"/>
      <c r="C40" s="42"/>
      <c r="D40" s="42"/>
      <c r="E40" s="42"/>
      <c r="F40" s="42"/>
      <c r="G40" s="4"/>
      <c r="H40" s="6" t="s">
        <v>73</v>
      </c>
    </row>
    <row r="41" spans="1:8" x14ac:dyDescent="0.2">
      <c r="B41" s="42"/>
      <c r="C41" s="42"/>
      <c r="D41" s="42"/>
      <c r="E41" s="42"/>
      <c r="F41" s="42"/>
      <c r="G41" s="4"/>
    </row>
    <row r="42" spans="1:8" x14ac:dyDescent="0.2">
      <c r="B42" s="42"/>
      <c r="C42" s="42"/>
      <c r="D42" s="42"/>
      <c r="E42" s="42"/>
      <c r="F42" s="42"/>
      <c r="G42" s="4"/>
    </row>
    <row r="43" spans="1:8" x14ac:dyDescent="0.2">
      <c r="B43" s="43"/>
      <c r="C43" s="43"/>
      <c r="D43" s="43"/>
      <c r="E43" s="43"/>
      <c r="F43" s="43"/>
      <c r="G43" s="4"/>
    </row>
    <row r="44" spans="1:8" x14ac:dyDescent="0.2">
      <c r="B44" s="4"/>
      <c r="C44" s="4"/>
      <c r="D44" s="4"/>
      <c r="E44" s="4"/>
      <c r="F44" s="4"/>
      <c r="G44" s="4"/>
    </row>
    <row r="45" spans="1:8" x14ac:dyDescent="0.2">
      <c r="B45" s="4"/>
      <c r="C45" s="4"/>
      <c r="D45" s="4"/>
      <c r="E45" s="4"/>
      <c r="F45" s="4"/>
      <c r="G45" s="4"/>
    </row>
    <row r="46" spans="1:8" x14ac:dyDescent="0.2">
      <c r="B46" s="4"/>
      <c r="C46" s="4"/>
      <c r="D46" s="4"/>
      <c r="E46" s="4"/>
      <c r="F46" s="4"/>
      <c r="G46" s="4"/>
    </row>
    <row r="47" spans="1:8" x14ac:dyDescent="0.2">
      <c r="B47" s="4"/>
      <c r="C47" s="4"/>
      <c r="D47" s="4"/>
      <c r="E47" s="4"/>
      <c r="F47" s="4"/>
      <c r="G47" s="4"/>
    </row>
    <row r="48" spans="1:8" x14ac:dyDescent="0.2">
      <c r="B48" s="4"/>
      <c r="C48" s="4"/>
      <c r="D48" s="4"/>
      <c r="E48" s="4"/>
      <c r="F48" s="4"/>
      <c r="G48" s="4"/>
    </row>
    <row r="49" spans="2:7" x14ac:dyDescent="0.2">
      <c r="B49" s="4"/>
      <c r="C49" s="4"/>
      <c r="D49" s="4"/>
      <c r="E49" s="4"/>
      <c r="F49" s="4"/>
      <c r="G49" s="4"/>
    </row>
    <row r="50" spans="2:7" x14ac:dyDescent="0.2">
      <c r="B50" s="4"/>
      <c r="C50" s="4"/>
      <c r="D50" s="4"/>
      <c r="E50" s="4"/>
      <c r="F50" s="4"/>
      <c r="G50" s="4"/>
    </row>
    <row r="51" spans="2:7" x14ac:dyDescent="0.2">
      <c r="B51" s="4"/>
      <c r="C51" s="4"/>
      <c r="D51" s="4"/>
      <c r="E51" s="4"/>
      <c r="F51" s="4"/>
      <c r="G51" s="4"/>
    </row>
  </sheetData>
  <mergeCells count="4">
    <mergeCell ref="A3:A7"/>
    <mergeCell ref="A10:A15"/>
    <mergeCell ref="B27:C27"/>
    <mergeCell ref="B38:C38"/>
  </mergeCells>
  <pageMargins left="0.7" right="0.7" top="0.78749999999999998" bottom="0.78749999999999998"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3"/>
  <sheetViews>
    <sheetView tabSelected="1" topLeftCell="A13" zoomScale="190" zoomScaleNormal="190" workbookViewId="0">
      <selection activeCell="F1" sqref="F1"/>
    </sheetView>
  </sheetViews>
  <sheetFormatPr baseColWidth="10" defaultColWidth="10.5" defaultRowHeight="15" x14ac:dyDescent="0.2"/>
  <cols>
    <col min="1" max="1" width="16" customWidth="1"/>
    <col min="2" max="2" width="12.83203125" customWidth="1"/>
    <col min="3" max="3" width="10.1640625" customWidth="1"/>
    <col min="4" max="5" width="8.6640625" customWidth="1"/>
    <col min="6" max="6" width="16.6640625" customWidth="1"/>
    <col min="7" max="7" width="29.1640625" customWidth="1"/>
  </cols>
  <sheetData>
    <row r="1" spans="1:7" s="77" customFormat="1" ht="32" x14ac:dyDescent="0.2">
      <c r="A1" s="148"/>
      <c r="B1" s="36" t="s">
        <v>18</v>
      </c>
      <c r="C1" s="36" t="s">
        <v>41</v>
      </c>
      <c r="D1" s="36" t="s">
        <v>47</v>
      </c>
      <c r="E1" s="36" t="s">
        <v>50</v>
      </c>
      <c r="F1" s="36" t="s">
        <v>126</v>
      </c>
      <c r="G1" s="36" t="s">
        <v>19</v>
      </c>
    </row>
    <row r="2" spans="1:7" x14ac:dyDescent="0.2">
      <c r="A2" s="11"/>
      <c r="B2" s="12" t="s">
        <v>65</v>
      </c>
      <c r="C2" s="12" t="s">
        <v>66</v>
      </c>
      <c r="D2" s="12" t="s">
        <v>67</v>
      </c>
      <c r="E2" s="12" t="s">
        <v>68</v>
      </c>
      <c r="F2" s="12"/>
      <c r="G2" s="13"/>
    </row>
    <row r="3" spans="1:7" ht="16" x14ac:dyDescent="0.2">
      <c r="A3" s="218" t="s">
        <v>21</v>
      </c>
      <c r="B3" s="193">
        <f>Regelsätze!C4</f>
        <v>506</v>
      </c>
      <c r="C3" s="193">
        <f>Regelsätze!C4</f>
        <v>506</v>
      </c>
      <c r="D3" s="194">
        <f>Regelsätze!C6</f>
        <v>471</v>
      </c>
      <c r="E3" s="206">
        <f>Regelsätze!C8</f>
        <v>357</v>
      </c>
      <c r="F3" s="195"/>
      <c r="G3" s="15" t="s">
        <v>22</v>
      </c>
    </row>
    <row r="4" spans="1:7" ht="16" x14ac:dyDescent="0.2">
      <c r="A4" s="218"/>
      <c r="B4" s="196"/>
      <c r="C4" s="196"/>
      <c r="D4" s="197">
        <f>Regelsätze!B13</f>
        <v>25</v>
      </c>
      <c r="E4" s="206">
        <f>D4</f>
        <v>25</v>
      </c>
      <c r="F4" s="198"/>
      <c r="G4" s="17" t="s">
        <v>111</v>
      </c>
    </row>
    <row r="5" spans="1:7" ht="16" x14ac:dyDescent="0.2">
      <c r="A5" s="218"/>
      <c r="B5" s="196">
        <v>0</v>
      </c>
      <c r="C5" s="196">
        <v>97</v>
      </c>
      <c r="D5" s="197">
        <v>0</v>
      </c>
      <c r="E5" s="206">
        <v>0</v>
      </c>
      <c r="F5" s="198"/>
      <c r="G5" s="17" t="s">
        <v>23</v>
      </c>
    </row>
    <row r="6" spans="1:7" ht="16" x14ac:dyDescent="0.2">
      <c r="A6" s="218"/>
      <c r="B6" s="192">
        <v>195</v>
      </c>
      <c r="C6" s="192">
        <v>195</v>
      </c>
      <c r="D6" s="192">
        <v>195</v>
      </c>
      <c r="E6" s="209">
        <v>195</v>
      </c>
      <c r="F6" s="199"/>
      <c r="G6" s="17" t="s">
        <v>24</v>
      </c>
    </row>
    <row r="7" spans="1:7" ht="16" x14ac:dyDescent="0.2">
      <c r="A7" s="218"/>
      <c r="B7" s="200">
        <f>SUM(B3:B6)</f>
        <v>701</v>
      </c>
      <c r="C7" s="200">
        <f>SUM(C3:C6)</f>
        <v>798</v>
      </c>
      <c r="D7" s="201">
        <f>SUM(D3:D6)</f>
        <v>691</v>
      </c>
      <c r="E7" s="206">
        <f>SUM(E3:E6)</f>
        <v>577</v>
      </c>
      <c r="F7" s="202"/>
      <c r="G7" s="17" t="s">
        <v>25</v>
      </c>
    </row>
    <row r="8" spans="1:7" ht="32" hidden="1" x14ac:dyDescent="0.2">
      <c r="A8" s="20" t="s">
        <v>26</v>
      </c>
      <c r="B8" s="203">
        <v>0</v>
      </c>
      <c r="C8" s="203">
        <v>0</v>
      </c>
      <c r="D8" s="203">
        <v>0</v>
      </c>
      <c r="E8" s="203">
        <v>0</v>
      </c>
      <c r="F8" s="203"/>
      <c r="G8" s="22"/>
    </row>
    <row r="9" spans="1:7" ht="32" x14ac:dyDescent="0.2">
      <c r="A9" s="23" t="s">
        <v>27</v>
      </c>
      <c r="B9" s="139">
        <v>0</v>
      </c>
      <c r="C9" s="139">
        <v>0</v>
      </c>
      <c r="D9" s="139">
        <f>Regelsätze!B11</f>
        <v>255</v>
      </c>
      <c r="E9" s="139">
        <f>D9</f>
        <v>255</v>
      </c>
      <c r="F9" s="139"/>
      <c r="G9" s="22"/>
    </row>
    <row r="10" spans="1:7" ht="16" x14ac:dyDescent="0.2">
      <c r="A10" s="25" t="s">
        <v>28</v>
      </c>
      <c r="B10" s="204">
        <f>B3+B5+B6-B8-B9</f>
        <v>701</v>
      </c>
      <c r="C10" s="204">
        <f>C3+C5+C6-C8-C9</f>
        <v>798</v>
      </c>
      <c r="D10" s="204">
        <f>D7-D9</f>
        <v>436</v>
      </c>
      <c r="E10" s="204">
        <f>E7-E9</f>
        <v>322</v>
      </c>
      <c r="F10" s="205">
        <f>SUM(B10:E10)</f>
        <v>2257</v>
      </c>
      <c r="G10" s="27"/>
    </row>
    <row r="11" spans="1:7" ht="16" x14ac:dyDescent="0.2">
      <c r="A11" s="25" t="s">
        <v>44</v>
      </c>
      <c r="B11" s="48">
        <f>B10/F10</f>
        <v>0.31058927780239254</v>
      </c>
      <c r="C11" s="48">
        <f>C10/F10</f>
        <v>0.35356668143553388</v>
      </c>
      <c r="D11" s="48">
        <f>D10/F10</f>
        <v>0.19317678334071778</v>
      </c>
      <c r="E11" s="48">
        <f>E10/F10</f>
        <v>0.14266725742135578</v>
      </c>
      <c r="F11" s="50">
        <f>SUM(B11:E11)</f>
        <v>1</v>
      </c>
      <c r="G11" s="22"/>
    </row>
    <row r="12" spans="1:7" ht="16" x14ac:dyDescent="0.2">
      <c r="A12" s="144" t="s">
        <v>29</v>
      </c>
      <c r="B12" s="206">
        <v>2303</v>
      </c>
      <c r="C12" s="207"/>
      <c r="D12" s="206">
        <v>0</v>
      </c>
      <c r="E12" s="206">
        <v>0</v>
      </c>
      <c r="F12" s="208"/>
      <c r="G12" s="53" t="s">
        <v>30</v>
      </c>
    </row>
    <row r="13" spans="1:7" ht="16" x14ac:dyDescent="0.2">
      <c r="A13" s="29"/>
      <c r="B13" s="209">
        <v>1740</v>
      </c>
      <c r="C13" s="207">
        <v>200</v>
      </c>
      <c r="D13" s="209">
        <v>0</v>
      </c>
      <c r="E13" s="209">
        <v>0</v>
      </c>
      <c r="F13" s="209"/>
      <c r="G13" s="53" t="s">
        <v>31</v>
      </c>
    </row>
    <row r="14" spans="1:7" ht="16" x14ac:dyDescent="0.2">
      <c r="A14" s="147"/>
      <c r="B14" s="209">
        <v>0</v>
      </c>
      <c r="C14" s="207"/>
      <c r="D14" s="209">
        <v>0</v>
      </c>
      <c r="E14" s="209">
        <v>0</v>
      </c>
      <c r="F14" s="209"/>
      <c r="G14" s="53" t="s">
        <v>32</v>
      </c>
    </row>
    <row r="15" spans="1:7" ht="32" x14ac:dyDescent="0.2">
      <c r="A15" s="147"/>
      <c r="B15" s="209"/>
      <c r="C15" s="207"/>
      <c r="D15" s="209">
        <v>0</v>
      </c>
      <c r="E15" s="209">
        <v>0</v>
      </c>
      <c r="F15" s="209"/>
      <c r="G15" s="53" t="s">
        <v>33</v>
      </c>
    </row>
    <row r="16" spans="1:7" ht="16" x14ac:dyDescent="0.2">
      <c r="A16" s="147"/>
      <c r="B16" s="209">
        <v>100</v>
      </c>
      <c r="C16" s="207">
        <v>100</v>
      </c>
      <c r="D16" s="209">
        <v>0</v>
      </c>
      <c r="E16" s="209">
        <v>0</v>
      </c>
      <c r="F16" s="209"/>
      <c r="G16" s="53" t="s">
        <v>34</v>
      </c>
    </row>
    <row r="17" spans="1:7" ht="16" x14ac:dyDescent="0.2">
      <c r="A17" s="147"/>
      <c r="B17" s="209">
        <f>420*0.2+480*0.3+500*0.1</f>
        <v>278</v>
      </c>
      <c r="C17" s="207">
        <f>(200-100)*0.2</f>
        <v>20</v>
      </c>
      <c r="D17" s="209">
        <v>0</v>
      </c>
      <c r="E17" s="209">
        <v>0</v>
      </c>
      <c r="F17" s="209"/>
      <c r="G17" s="53" t="s">
        <v>35</v>
      </c>
    </row>
    <row r="18" spans="1:7" ht="16" x14ac:dyDescent="0.2">
      <c r="A18" s="147"/>
      <c r="B18" s="209">
        <f>(B13-B16-B17)+B14-B15</f>
        <v>1362</v>
      </c>
      <c r="C18" s="207">
        <f>C13-C16-C17</f>
        <v>80</v>
      </c>
      <c r="D18" s="209">
        <f>(D13-D16-D17)+D14-D15</f>
        <v>0</v>
      </c>
      <c r="E18" s="209">
        <f>(E13-E16-E17)+E14-E15</f>
        <v>0</v>
      </c>
      <c r="F18" s="209">
        <f>SUM(B18:E18)</f>
        <v>1442</v>
      </c>
      <c r="G18" s="53" t="s">
        <v>25</v>
      </c>
    </row>
    <row r="19" spans="1:7" ht="32" x14ac:dyDescent="0.2">
      <c r="A19" s="34" t="s">
        <v>36</v>
      </c>
      <c r="B19" s="210">
        <f>F18*B11</f>
        <v>447.86973859105007</v>
      </c>
      <c r="C19" s="210">
        <f>F18*C11</f>
        <v>509.84315463003986</v>
      </c>
      <c r="D19" s="210">
        <f>F18*D11</f>
        <v>278.56092157731501</v>
      </c>
      <c r="E19" s="210">
        <f>F18*E11</f>
        <v>205.72618520159503</v>
      </c>
      <c r="F19" s="139">
        <f>SUM(B19:E19)</f>
        <v>1441.9999999999998</v>
      </c>
      <c r="G19" s="22"/>
    </row>
    <row r="20" spans="1:7" ht="48" hidden="1" x14ac:dyDescent="0.2">
      <c r="A20" s="34" t="s">
        <v>49</v>
      </c>
      <c r="B20" s="211">
        <f>B10-B19</f>
        <v>253.13026140894993</v>
      </c>
      <c r="C20" s="211">
        <f>C10-C19</f>
        <v>288.15684536996014</v>
      </c>
      <c r="D20" s="211">
        <f>D10-D19</f>
        <v>157.43907842268499</v>
      </c>
      <c r="E20" s="211">
        <f>E10-E19</f>
        <v>116.27381479840497</v>
      </c>
      <c r="F20" s="139"/>
      <c r="G20" s="22"/>
    </row>
    <row r="21" spans="1:7" ht="32" hidden="1" x14ac:dyDescent="0.2">
      <c r="A21" s="36" t="s">
        <v>39</v>
      </c>
      <c r="B21" s="212">
        <v>0</v>
      </c>
      <c r="C21" s="212">
        <v>0</v>
      </c>
      <c r="D21" s="212">
        <v>0</v>
      </c>
      <c r="E21" s="212">
        <v>0</v>
      </c>
      <c r="F21" s="139"/>
      <c r="G21" s="22"/>
    </row>
    <row r="22" spans="1:7" x14ac:dyDescent="0.2">
      <c r="A22" s="37" t="s">
        <v>40</v>
      </c>
      <c r="B22" s="213">
        <f>B20-B21</f>
        <v>253.13026140894993</v>
      </c>
      <c r="C22" s="213">
        <f>C20-C21</f>
        <v>288.15684536996014</v>
      </c>
      <c r="D22" s="213">
        <f>D20-D21</f>
        <v>157.43907842268499</v>
      </c>
      <c r="E22" s="213">
        <f>E20-E21</f>
        <v>116.27381479840497</v>
      </c>
      <c r="F22" s="214"/>
      <c r="G22" s="54"/>
    </row>
    <row r="28" spans="1:7" x14ac:dyDescent="0.2">
      <c r="A28" s="94"/>
    </row>
    <row r="29" spans="1:7" x14ac:dyDescent="0.2">
      <c r="A29" s="95"/>
    </row>
    <row r="30" spans="1:7" x14ac:dyDescent="0.2">
      <c r="A30" s="95"/>
    </row>
    <row r="31" spans="1:7" x14ac:dyDescent="0.2">
      <c r="A31" s="95"/>
    </row>
    <row r="32" spans="1:7" x14ac:dyDescent="0.2">
      <c r="A32" s="95"/>
    </row>
    <row r="33" spans="1:1" x14ac:dyDescent="0.2">
      <c r="A33" s="95"/>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2"/>
  <sheetViews>
    <sheetView zoomScale="140" zoomScaleNormal="140" workbookViewId="0">
      <selection activeCell="B1" sqref="B1:B1048576"/>
    </sheetView>
  </sheetViews>
  <sheetFormatPr baseColWidth="10" defaultColWidth="10.5" defaultRowHeight="15" x14ac:dyDescent="0.2"/>
  <cols>
    <col min="1" max="1" width="21.1640625" customWidth="1"/>
    <col min="2" max="2" width="12.83203125" customWidth="1"/>
    <col min="3" max="3" width="10.33203125" customWidth="1"/>
    <col min="4" max="4" width="12.5" customWidth="1"/>
    <col min="5" max="5" width="27.1640625" customWidth="1"/>
    <col min="6" max="6" width="4" customWidth="1"/>
    <col min="7" max="7" width="17.83203125" customWidth="1"/>
    <col min="8" max="8" width="12.83203125" customWidth="1"/>
    <col min="9" max="9" width="23.83203125" customWidth="1"/>
  </cols>
  <sheetData>
    <row r="1" spans="1:9" ht="32" x14ac:dyDescent="0.2">
      <c r="A1" s="97" t="s">
        <v>77</v>
      </c>
      <c r="G1" s="97" t="s">
        <v>78</v>
      </c>
    </row>
    <row r="2" spans="1:9" x14ac:dyDescent="0.2">
      <c r="A2" s="9"/>
      <c r="B2" s="10" t="s">
        <v>18</v>
      </c>
      <c r="C2" s="10" t="s">
        <v>41</v>
      </c>
      <c r="D2" s="10" t="s">
        <v>42</v>
      </c>
      <c r="E2" s="10" t="s">
        <v>19</v>
      </c>
      <c r="G2" s="9"/>
      <c r="H2" s="10" t="s">
        <v>18</v>
      </c>
      <c r="I2" s="10" t="s">
        <v>19</v>
      </c>
    </row>
    <row r="3" spans="1:9" x14ac:dyDescent="0.2">
      <c r="A3" s="11"/>
      <c r="B3" s="12" t="s">
        <v>79</v>
      </c>
      <c r="C3" s="12" t="s">
        <v>80</v>
      </c>
      <c r="D3" s="12"/>
      <c r="E3" s="13"/>
      <c r="G3" s="11"/>
      <c r="H3" s="12" t="s">
        <v>81</v>
      </c>
      <c r="I3" s="13"/>
    </row>
    <row r="4" spans="1:9" ht="32" x14ac:dyDescent="0.2">
      <c r="A4" s="218" t="s">
        <v>21</v>
      </c>
      <c r="B4" s="14">
        <f>Regelsätze!C3</f>
        <v>563</v>
      </c>
      <c r="C4" s="14">
        <f>Regelsätze!C8+20</f>
        <v>377</v>
      </c>
      <c r="D4" s="44"/>
      <c r="E4" s="15" t="s">
        <v>109</v>
      </c>
      <c r="G4" s="218" t="s">
        <v>21</v>
      </c>
      <c r="H4" s="14">
        <f>Regelsätze!C3</f>
        <v>563</v>
      </c>
      <c r="I4" s="15" t="s">
        <v>22</v>
      </c>
    </row>
    <row r="5" spans="1:9" ht="16" x14ac:dyDescent="0.2">
      <c r="A5" s="218"/>
      <c r="B5" s="16">
        <f>B4*0.36</f>
        <v>202.67999999999998</v>
      </c>
      <c r="C5" s="16">
        <v>0</v>
      </c>
      <c r="D5" s="45"/>
      <c r="E5" s="17" t="s">
        <v>23</v>
      </c>
      <c r="G5" s="218"/>
      <c r="H5" s="16"/>
      <c r="I5" s="17" t="s">
        <v>23</v>
      </c>
    </row>
    <row r="6" spans="1:9" ht="16" x14ac:dyDescent="0.2">
      <c r="A6" s="218"/>
      <c r="B6" s="30">
        <f>(700+271-50)/5</f>
        <v>184.2</v>
      </c>
      <c r="C6" s="30">
        <f>B6</f>
        <v>184.2</v>
      </c>
      <c r="D6" s="46"/>
      <c r="E6" s="17" t="s">
        <v>24</v>
      </c>
      <c r="G6" s="218"/>
      <c r="H6" s="30">
        <f>B6</f>
        <v>184.2</v>
      </c>
      <c r="I6" s="17" t="s">
        <v>24</v>
      </c>
    </row>
    <row r="7" spans="1:9" ht="16" x14ac:dyDescent="0.2">
      <c r="A7" s="218"/>
      <c r="B7" s="19">
        <f>SUM(B4:B6)</f>
        <v>949.87999999999988</v>
      </c>
      <c r="C7" s="19">
        <f>SUM(C4:C6)</f>
        <v>561.20000000000005</v>
      </c>
      <c r="D7" s="47">
        <f>SUM(B7:C7)</f>
        <v>1511.08</v>
      </c>
      <c r="E7" s="17" t="s">
        <v>25</v>
      </c>
      <c r="G7" s="218"/>
      <c r="H7" s="19">
        <f>SUM(H4:H6)</f>
        <v>747.2</v>
      </c>
      <c r="I7" s="17" t="s">
        <v>25</v>
      </c>
    </row>
    <row r="8" spans="1:9" ht="32" x14ac:dyDescent="0.2">
      <c r="A8" s="20" t="s">
        <v>26</v>
      </c>
      <c r="B8" s="21">
        <v>0</v>
      </c>
      <c r="C8" s="21">
        <v>220.65</v>
      </c>
      <c r="D8" s="48"/>
      <c r="E8" s="22" t="s">
        <v>82</v>
      </c>
      <c r="G8" s="20" t="s">
        <v>26</v>
      </c>
      <c r="H8" s="21">
        <v>0</v>
      </c>
      <c r="I8" s="22"/>
    </row>
    <row r="9" spans="1:9" ht="32" x14ac:dyDescent="0.2">
      <c r="A9" s="23" t="s">
        <v>27</v>
      </c>
      <c r="B9" s="24">
        <v>0</v>
      </c>
      <c r="C9" s="24">
        <f>Regelsätze!B11</f>
        <v>255</v>
      </c>
      <c r="D9" s="24">
        <f>SUM(B9:C9)</f>
        <v>255</v>
      </c>
      <c r="E9" s="22" t="s">
        <v>13</v>
      </c>
      <c r="G9" s="23" t="s">
        <v>27</v>
      </c>
      <c r="H9" s="24">
        <v>0</v>
      </c>
      <c r="I9" s="22"/>
    </row>
    <row r="10" spans="1:9" ht="16" x14ac:dyDescent="0.2">
      <c r="A10" s="25" t="s">
        <v>28</v>
      </c>
      <c r="B10" s="26">
        <f>B4+B5+B6-B8-B9</f>
        <v>949.87999999999988</v>
      </c>
      <c r="C10" s="26">
        <f>C4+C5+C6-C8-C9</f>
        <v>85.550000000000068</v>
      </c>
      <c r="D10" s="49">
        <f>SUM(B10:C10)</f>
        <v>1035.4299999999998</v>
      </c>
      <c r="E10" s="27"/>
      <c r="G10" s="25" t="s">
        <v>28</v>
      </c>
      <c r="H10" s="26">
        <f>H4+H5+H6-H8-H9</f>
        <v>747.2</v>
      </c>
      <c r="I10" s="27"/>
    </row>
    <row r="11" spans="1:9" ht="16" x14ac:dyDescent="0.2">
      <c r="A11" s="25" t="s">
        <v>44</v>
      </c>
      <c r="B11" s="48">
        <f>B10/D10</f>
        <v>0.91737732149928053</v>
      </c>
      <c r="C11" s="48">
        <f>C10/D10</f>
        <v>8.2622678500719582E-2</v>
      </c>
      <c r="D11" s="50">
        <f>SUM(B11:C11)</f>
        <v>1</v>
      </c>
      <c r="E11" s="22"/>
      <c r="G11" s="25" t="s">
        <v>44</v>
      </c>
      <c r="H11" s="48"/>
      <c r="I11" s="22"/>
    </row>
    <row r="12" spans="1:9" ht="16" x14ac:dyDescent="0.2">
      <c r="A12" s="28" t="s">
        <v>29</v>
      </c>
      <c r="B12" s="98">
        <f>700</f>
        <v>700</v>
      </c>
      <c r="C12" s="96">
        <v>0</v>
      </c>
      <c r="D12" s="90"/>
      <c r="E12" s="17" t="s">
        <v>30</v>
      </c>
      <c r="G12" s="28" t="s">
        <v>29</v>
      </c>
      <c r="H12" s="18">
        <v>0</v>
      </c>
      <c r="I12" s="17" t="s">
        <v>30</v>
      </c>
    </row>
    <row r="13" spans="1:9" ht="16" x14ac:dyDescent="0.2">
      <c r="A13" s="29"/>
      <c r="B13" s="98">
        <f>B12-137</f>
        <v>563</v>
      </c>
      <c r="C13" s="46">
        <v>0</v>
      </c>
      <c r="D13" s="30"/>
      <c r="E13" s="17" t="s">
        <v>31</v>
      </c>
      <c r="G13" s="29"/>
      <c r="H13" s="30">
        <v>0</v>
      </c>
      <c r="I13" s="17" t="s">
        <v>31</v>
      </c>
    </row>
    <row r="14" spans="1:9" ht="16" x14ac:dyDescent="0.2">
      <c r="A14" s="31"/>
      <c r="B14" s="98">
        <v>0</v>
      </c>
      <c r="C14" s="46">
        <v>0</v>
      </c>
      <c r="D14" s="30"/>
      <c r="E14" s="17" t="s">
        <v>32</v>
      </c>
      <c r="G14" s="31"/>
      <c r="H14" s="30">
        <v>0</v>
      </c>
      <c r="I14" s="17" t="s">
        <v>32</v>
      </c>
    </row>
    <row r="15" spans="1:9" ht="32" x14ac:dyDescent="0.2">
      <c r="A15" s="31"/>
      <c r="B15" s="98">
        <v>0</v>
      </c>
      <c r="C15" s="46">
        <v>0</v>
      </c>
      <c r="D15" s="92"/>
      <c r="E15" s="17" t="s">
        <v>33</v>
      </c>
      <c r="G15" s="31"/>
      <c r="H15" s="30">
        <v>0</v>
      </c>
      <c r="I15" s="17" t="s">
        <v>33</v>
      </c>
    </row>
    <row r="16" spans="1:9" ht="16" x14ac:dyDescent="0.2">
      <c r="A16" s="31"/>
      <c r="B16" s="98">
        <v>100</v>
      </c>
      <c r="C16" s="46">
        <v>0</v>
      </c>
      <c r="D16" s="30"/>
      <c r="E16" s="17" t="s">
        <v>34</v>
      </c>
      <c r="G16" s="31"/>
      <c r="H16" s="30">
        <v>0</v>
      </c>
      <c r="I16" s="17" t="s">
        <v>34</v>
      </c>
    </row>
    <row r="17" spans="1:9" ht="16" x14ac:dyDescent="0.2">
      <c r="A17" s="31"/>
      <c r="B17" s="98">
        <f>420*0.2+180*0.3</f>
        <v>138</v>
      </c>
      <c r="C17" s="46">
        <v>0</v>
      </c>
      <c r="D17" s="30"/>
      <c r="E17" s="17" t="s">
        <v>35</v>
      </c>
      <c r="G17" s="31"/>
      <c r="H17" s="30">
        <v>0</v>
      </c>
      <c r="I17" s="17" t="s">
        <v>35</v>
      </c>
    </row>
    <row r="18" spans="1:9" ht="16" x14ac:dyDescent="0.2">
      <c r="A18" s="31"/>
      <c r="B18" s="98">
        <f>B13-B16-B17</f>
        <v>325</v>
      </c>
      <c r="C18" s="32">
        <f>(C13-C16-C17)+C14-C15</f>
        <v>0</v>
      </c>
      <c r="D18" s="32">
        <f>SUM(B18:C18)</f>
        <v>325</v>
      </c>
      <c r="E18" s="33" t="s">
        <v>25</v>
      </c>
      <c r="G18" s="31"/>
      <c r="H18" s="32">
        <f>(H13-H16-H17)+H14-H15</f>
        <v>0</v>
      </c>
      <c r="I18" s="33" t="s">
        <v>25</v>
      </c>
    </row>
    <row r="19" spans="1:9" ht="32" x14ac:dyDescent="0.2">
      <c r="A19" s="34" t="s">
        <v>36</v>
      </c>
      <c r="B19" s="24">
        <f>D18*B11</f>
        <v>298.14762948726616</v>
      </c>
      <c r="C19" s="24">
        <f>D18*C11</f>
        <v>26.852370512733863</v>
      </c>
      <c r="D19" s="24">
        <f>B19+C19</f>
        <v>325</v>
      </c>
      <c r="E19" s="22"/>
      <c r="G19" s="34" t="s">
        <v>36</v>
      </c>
      <c r="H19" s="24"/>
      <c r="I19" s="22"/>
    </row>
    <row r="20" spans="1:9" ht="48" x14ac:dyDescent="0.2">
      <c r="A20" s="34" t="s">
        <v>49</v>
      </c>
      <c r="B20" s="35">
        <f>B10-B19</f>
        <v>651.73237051273372</v>
      </c>
      <c r="C20" s="35">
        <f>C10-C19</f>
        <v>58.697629487266205</v>
      </c>
      <c r="D20" s="24"/>
      <c r="E20" s="22" t="s">
        <v>38</v>
      </c>
      <c r="G20" s="34" t="s">
        <v>49</v>
      </c>
      <c r="H20" s="35">
        <f>H10-H19</f>
        <v>747.2</v>
      </c>
      <c r="I20" s="22" t="s">
        <v>38</v>
      </c>
    </row>
    <row r="21" spans="1:9" ht="32" x14ac:dyDescent="0.2">
      <c r="A21" s="36" t="s">
        <v>39</v>
      </c>
      <c r="B21" s="22">
        <v>0</v>
      </c>
      <c r="C21" s="22">
        <v>0</v>
      </c>
      <c r="D21" s="24"/>
      <c r="E21" s="22"/>
      <c r="G21" s="36" t="s">
        <v>39</v>
      </c>
      <c r="H21" s="22">
        <v>0</v>
      </c>
      <c r="I21" s="22"/>
    </row>
    <row r="22" spans="1:9" x14ac:dyDescent="0.2">
      <c r="A22" s="37" t="s">
        <v>40</v>
      </c>
      <c r="B22" s="24">
        <f>B20-B21</f>
        <v>651.73237051273372</v>
      </c>
      <c r="C22" s="24">
        <f>C20-C21</f>
        <v>58.697629487266205</v>
      </c>
      <c r="D22" s="12"/>
      <c r="E22" s="12"/>
      <c r="G22" s="37" t="s">
        <v>40</v>
      </c>
      <c r="H22" s="24">
        <f>H20-H21</f>
        <v>747.2</v>
      </c>
      <c r="I22" s="12"/>
    </row>
  </sheetData>
  <mergeCells count="2">
    <mergeCell ref="A4:A7"/>
    <mergeCell ref="G4:G7"/>
  </mergeCells>
  <pageMargins left="0.7" right="0.7" top="0.78749999999999998" bottom="0.78749999999999998"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2"/>
  <sheetViews>
    <sheetView zoomScaleNormal="100" workbookViewId="0">
      <selection activeCell="B18" sqref="B18"/>
    </sheetView>
  </sheetViews>
  <sheetFormatPr baseColWidth="10" defaultColWidth="10.5" defaultRowHeight="15" x14ac:dyDescent="0.2"/>
  <cols>
    <col min="1" max="1" width="16" customWidth="1"/>
    <col min="2" max="2" width="12.83203125" customWidth="1"/>
    <col min="3" max="3" width="10.1640625" customWidth="1"/>
    <col min="4" max="5" width="11.1640625" customWidth="1"/>
    <col min="6" max="6" width="14.5" customWidth="1"/>
    <col min="7" max="8" width="7.83203125" hidden="1" customWidth="1"/>
    <col min="9" max="9" width="12.5" customWidth="1"/>
    <col min="10" max="10" width="23.83203125" customWidth="1"/>
  </cols>
  <sheetData>
    <row r="1" spans="1:10" x14ac:dyDescent="0.2">
      <c r="A1" s="9"/>
      <c r="B1" s="10" t="s">
        <v>18</v>
      </c>
      <c r="C1" s="10" t="s">
        <v>41</v>
      </c>
      <c r="D1" s="10" t="s">
        <v>47</v>
      </c>
      <c r="E1" s="10" t="s">
        <v>50</v>
      </c>
      <c r="F1" s="10" t="s">
        <v>83</v>
      </c>
      <c r="G1" s="10" t="s">
        <v>84</v>
      </c>
      <c r="H1" s="10" t="s">
        <v>85</v>
      </c>
      <c r="I1" s="10" t="s">
        <v>42</v>
      </c>
      <c r="J1" s="10" t="s">
        <v>19</v>
      </c>
    </row>
    <row r="2" spans="1:10" x14ac:dyDescent="0.2">
      <c r="A2" s="11"/>
      <c r="B2" s="12" t="s">
        <v>74</v>
      </c>
      <c r="C2" s="12" t="s">
        <v>86</v>
      </c>
      <c r="D2" s="12" t="s">
        <v>87</v>
      </c>
      <c r="E2" s="68" t="s">
        <v>88</v>
      </c>
      <c r="F2" s="12" t="s">
        <v>89</v>
      </c>
      <c r="G2" s="13"/>
      <c r="H2" s="13"/>
      <c r="I2" s="12"/>
      <c r="J2" s="13"/>
    </row>
    <row r="3" spans="1:10" ht="16" x14ac:dyDescent="0.2">
      <c r="A3" s="218" t="s">
        <v>21</v>
      </c>
      <c r="B3" s="101">
        <f>Regelsätze!C4</f>
        <v>506</v>
      </c>
      <c r="C3" s="101">
        <f>Regelsätze!C4</f>
        <v>506</v>
      </c>
      <c r="D3" s="101">
        <f>Regelsätze!C5</f>
        <v>451</v>
      </c>
      <c r="E3" s="101">
        <f>Regelsätze!C7</f>
        <v>390</v>
      </c>
      <c r="F3" s="101">
        <f>Regelsätze!C7</f>
        <v>390</v>
      </c>
      <c r="G3" s="101">
        <v>0</v>
      </c>
      <c r="H3" s="102">
        <v>0</v>
      </c>
      <c r="I3" s="101"/>
      <c r="J3" s="15" t="s">
        <v>22</v>
      </c>
    </row>
    <row r="4" spans="1:10" ht="16" x14ac:dyDescent="0.2">
      <c r="A4" s="218"/>
      <c r="B4" s="101"/>
      <c r="C4" s="101"/>
      <c r="D4" s="101">
        <v>20</v>
      </c>
      <c r="E4" s="101">
        <v>20</v>
      </c>
      <c r="F4" s="101">
        <v>20</v>
      </c>
      <c r="G4" s="101"/>
      <c r="H4" s="102"/>
      <c r="I4" s="101"/>
      <c r="J4" s="17" t="s">
        <v>111</v>
      </c>
    </row>
    <row r="5" spans="1:10" ht="16" x14ac:dyDescent="0.2">
      <c r="A5" s="218"/>
      <c r="B5" s="101">
        <v>0</v>
      </c>
      <c r="C5" s="101">
        <v>0</v>
      </c>
      <c r="D5" s="101">
        <v>0</v>
      </c>
      <c r="E5" s="101">
        <v>0</v>
      </c>
      <c r="F5" s="101">
        <v>0</v>
      </c>
      <c r="G5" s="101">
        <v>0</v>
      </c>
      <c r="H5" s="101">
        <v>0</v>
      </c>
      <c r="I5" s="101"/>
      <c r="J5" s="17" t="s">
        <v>23</v>
      </c>
    </row>
    <row r="6" spans="1:10" ht="16" x14ac:dyDescent="0.2">
      <c r="A6" s="218"/>
      <c r="B6" s="51">
        <f>(720+230)/5</f>
        <v>190</v>
      </c>
      <c r="C6" s="55">
        <f>B6</f>
        <v>190</v>
      </c>
      <c r="D6" s="55">
        <f>B6</f>
        <v>190</v>
      </c>
      <c r="E6" s="55">
        <f>C6</f>
        <v>190</v>
      </c>
      <c r="F6" s="55">
        <f>D6</f>
        <v>190</v>
      </c>
      <c r="G6" s="55">
        <v>0</v>
      </c>
      <c r="H6" s="55">
        <v>0</v>
      </c>
      <c r="I6" s="55"/>
      <c r="J6" s="17" t="s">
        <v>24</v>
      </c>
    </row>
    <row r="7" spans="1:10" ht="16" x14ac:dyDescent="0.2">
      <c r="A7" s="218"/>
      <c r="B7" s="146">
        <f t="shared" ref="B7:H7" si="0">SUM(B3:B6)</f>
        <v>696</v>
      </c>
      <c r="C7" s="146">
        <f t="shared" si="0"/>
        <v>696</v>
      </c>
      <c r="D7" s="146">
        <f t="shared" si="0"/>
        <v>661</v>
      </c>
      <c r="E7" s="146">
        <f t="shared" si="0"/>
        <v>600</v>
      </c>
      <c r="F7" s="146">
        <f t="shared" si="0"/>
        <v>600</v>
      </c>
      <c r="G7" s="101">
        <f t="shared" si="0"/>
        <v>0</v>
      </c>
      <c r="H7" s="101">
        <f t="shared" si="0"/>
        <v>0</v>
      </c>
      <c r="I7" s="101">
        <f>SUM(B7:E7)</f>
        <v>2653</v>
      </c>
      <c r="J7" s="17" t="s">
        <v>25</v>
      </c>
    </row>
    <row r="8" spans="1:10" ht="32" x14ac:dyDescent="0.2">
      <c r="A8" s="20" t="s">
        <v>26</v>
      </c>
      <c r="B8" s="21">
        <v>0</v>
      </c>
      <c r="C8" s="21">
        <v>0</v>
      </c>
      <c r="D8" s="21">
        <v>0</v>
      </c>
      <c r="E8" s="21">
        <v>0</v>
      </c>
      <c r="F8" s="21">
        <v>0</v>
      </c>
      <c r="G8" s="21">
        <v>0</v>
      </c>
      <c r="H8" s="21">
        <v>0</v>
      </c>
      <c r="I8" s="48"/>
      <c r="J8" s="22"/>
    </row>
    <row r="9" spans="1:10" ht="32" x14ac:dyDescent="0.2">
      <c r="A9" s="23" t="s">
        <v>27</v>
      </c>
      <c r="B9" s="24">
        <v>0</v>
      </c>
      <c r="C9" s="24">
        <v>0</v>
      </c>
      <c r="D9" s="24">
        <f>Regelsätze!B11</f>
        <v>255</v>
      </c>
      <c r="E9" s="24">
        <f>Regelsätze!B11</f>
        <v>255</v>
      </c>
      <c r="F9" s="24">
        <f>Regelsätze!C11</f>
        <v>250</v>
      </c>
      <c r="G9" s="24">
        <v>0</v>
      </c>
      <c r="H9" s="100">
        <v>0</v>
      </c>
      <c r="I9" s="24">
        <f>SUM(B9:H9)</f>
        <v>760</v>
      </c>
      <c r="J9" s="22"/>
    </row>
    <row r="10" spans="1:10" ht="16" x14ac:dyDescent="0.2">
      <c r="A10" s="25" t="s">
        <v>28</v>
      </c>
      <c r="B10" s="26">
        <f t="shared" ref="B10:H10" si="1">B3+B5+B6-B8-B9</f>
        <v>696</v>
      </c>
      <c r="C10" s="26">
        <f t="shared" si="1"/>
        <v>696</v>
      </c>
      <c r="D10" s="26">
        <f t="shared" si="1"/>
        <v>386</v>
      </c>
      <c r="E10" s="26">
        <f t="shared" si="1"/>
        <v>325</v>
      </c>
      <c r="F10" s="26">
        <f t="shared" si="1"/>
        <v>330</v>
      </c>
      <c r="G10" s="26">
        <f t="shared" si="1"/>
        <v>0</v>
      </c>
      <c r="H10" s="26">
        <f t="shared" si="1"/>
        <v>0</v>
      </c>
      <c r="I10" s="49">
        <f>SUM(B10:H10)</f>
        <v>2433</v>
      </c>
      <c r="J10" s="27"/>
    </row>
    <row r="11" spans="1:10" ht="16" x14ac:dyDescent="0.2">
      <c r="A11" s="25" t="s">
        <v>44</v>
      </c>
      <c r="B11" s="48">
        <f>B10/I10</f>
        <v>0.28606658446362515</v>
      </c>
      <c r="C11" s="48">
        <f>C10/I10</f>
        <v>0.28606658446362515</v>
      </c>
      <c r="D11" s="48">
        <f>D10/I10</f>
        <v>0.1586518701191944</v>
      </c>
      <c r="E11" s="48">
        <f>E10/I10</f>
        <v>0.13357994245787094</v>
      </c>
      <c r="F11" s="48">
        <f>F10/I10</f>
        <v>0.13563501849568435</v>
      </c>
      <c r="G11" s="48">
        <f>G10/I10</f>
        <v>0</v>
      </c>
      <c r="H11" s="48">
        <f>H10/I10</f>
        <v>0</v>
      </c>
      <c r="I11" s="50">
        <f>SUM(B11:H11)</f>
        <v>1</v>
      </c>
      <c r="J11" s="22"/>
    </row>
    <row r="12" spans="1:10" ht="16" x14ac:dyDescent="0.2">
      <c r="A12" s="2" t="s">
        <v>29</v>
      </c>
      <c r="B12" s="51">
        <v>920</v>
      </c>
      <c r="C12" s="51">
        <v>0</v>
      </c>
      <c r="D12" s="51">
        <v>0</v>
      </c>
      <c r="E12" s="51">
        <v>0</v>
      </c>
      <c r="F12" s="51">
        <v>0</v>
      </c>
      <c r="G12" s="51">
        <v>0</v>
      </c>
      <c r="H12" s="51">
        <v>0</v>
      </c>
      <c r="I12" s="52"/>
      <c r="J12" s="53" t="s">
        <v>30</v>
      </c>
    </row>
    <row r="13" spans="1:10" ht="16" x14ac:dyDescent="0.2">
      <c r="A13" s="54"/>
      <c r="B13" s="55">
        <v>735</v>
      </c>
      <c r="C13" s="55">
        <v>0</v>
      </c>
      <c r="D13" s="55">
        <v>0</v>
      </c>
      <c r="E13" s="55">
        <v>0</v>
      </c>
      <c r="F13" s="55">
        <v>0</v>
      </c>
      <c r="G13" s="55">
        <v>0</v>
      </c>
      <c r="H13" s="55">
        <v>0</v>
      </c>
      <c r="I13" s="55"/>
      <c r="J13" s="53" t="s">
        <v>31</v>
      </c>
    </row>
    <row r="14" spans="1:10" ht="16" x14ac:dyDescent="0.2">
      <c r="A14" s="2"/>
      <c r="B14" s="55">
        <v>0</v>
      </c>
      <c r="C14" s="55">
        <v>0</v>
      </c>
      <c r="D14" s="55"/>
      <c r="E14" s="55"/>
      <c r="F14" s="55"/>
      <c r="G14" s="55"/>
      <c r="H14" s="55"/>
      <c r="I14" s="55"/>
      <c r="J14" s="53" t="s">
        <v>32</v>
      </c>
    </row>
    <row r="15" spans="1:10" ht="32" x14ac:dyDescent="0.2">
      <c r="A15" s="2"/>
      <c r="B15" s="55">
        <v>0</v>
      </c>
      <c r="C15" s="55">
        <v>0</v>
      </c>
      <c r="D15" s="56">
        <v>0</v>
      </c>
      <c r="E15" s="56">
        <v>0</v>
      </c>
      <c r="F15" s="56">
        <v>0</v>
      </c>
      <c r="G15" s="56">
        <v>0</v>
      </c>
      <c r="H15" s="56">
        <v>0</v>
      </c>
      <c r="I15" s="56"/>
      <c r="J15" s="53" t="s">
        <v>33</v>
      </c>
    </row>
    <row r="16" spans="1:10" ht="16" x14ac:dyDescent="0.2">
      <c r="A16" s="2"/>
      <c r="B16" s="55">
        <v>100</v>
      </c>
      <c r="C16" s="55">
        <v>0</v>
      </c>
      <c r="D16" s="55">
        <v>0</v>
      </c>
      <c r="E16" s="55">
        <v>0</v>
      </c>
      <c r="F16" s="55">
        <v>0</v>
      </c>
      <c r="G16" s="55">
        <v>0</v>
      </c>
      <c r="H16" s="55">
        <v>0</v>
      </c>
      <c r="I16" s="55"/>
      <c r="J16" s="53" t="s">
        <v>34</v>
      </c>
    </row>
    <row r="17" spans="1:10" ht="16" x14ac:dyDescent="0.2">
      <c r="A17" s="2"/>
      <c r="B17" s="55">
        <f>820*0.2</f>
        <v>164</v>
      </c>
      <c r="C17" s="55">
        <v>0</v>
      </c>
      <c r="D17" s="55">
        <v>0</v>
      </c>
      <c r="E17" s="55">
        <v>0</v>
      </c>
      <c r="F17" s="55">
        <v>0</v>
      </c>
      <c r="G17" s="55">
        <v>0</v>
      </c>
      <c r="H17" s="55">
        <v>0</v>
      </c>
      <c r="I17" s="55"/>
      <c r="J17" s="53" t="s">
        <v>35</v>
      </c>
    </row>
    <row r="18" spans="1:10" ht="16" x14ac:dyDescent="0.2">
      <c r="A18" s="2"/>
      <c r="B18" s="55">
        <f>B13-B16-B17</f>
        <v>471</v>
      </c>
      <c r="C18" s="55">
        <f t="shared" ref="C18:H18" si="2">(C13-C16-C17)+C14-C15</f>
        <v>0</v>
      </c>
      <c r="D18" s="55">
        <f t="shared" si="2"/>
        <v>0</v>
      </c>
      <c r="E18" s="55">
        <f t="shared" si="2"/>
        <v>0</v>
      </c>
      <c r="F18" s="55">
        <f t="shared" si="2"/>
        <v>0</v>
      </c>
      <c r="G18" s="55">
        <f t="shared" si="2"/>
        <v>0</v>
      </c>
      <c r="H18" s="55">
        <f t="shared" si="2"/>
        <v>0</v>
      </c>
      <c r="I18" s="55">
        <f>SUM(B18:H18)</f>
        <v>471</v>
      </c>
      <c r="J18" s="53" t="s">
        <v>25</v>
      </c>
    </row>
    <row r="19" spans="1:10" ht="32" x14ac:dyDescent="0.2">
      <c r="A19" s="34" t="s">
        <v>36</v>
      </c>
      <c r="B19" s="130">
        <f>I18*B11</f>
        <v>134.73736128236746</v>
      </c>
      <c r="C19" s="130">
        <f>I18*C11</f>
        <v>134.73736128236746</v>
      </c>
      <c r="D19" s="130">
        <f>I18*D11</f>
        <v>74.725030826140568</v>
      </c>
      <c r="E19" s="130">
        <f>E11*I18</f>
        <v>62.916152897657213</v>
      </c>
      <c r="F19" s="130">
        <f>F11*I18</f>
        <v>63.88409371146733</v>
      </c>
      <c r="G19" s="24">
        <f>I18*G11</f>
        <v>0</v>
      </c>
      <c r="H19" s="24">
        <f>I18*H11</f>
        <v>0</v>
      </c>
      <c r="I19" s="24">
        <f>SUM(B19:H19)</f>
        <v>471</v>
      </c>
      <c r="J19" s="22"/>
    </row>
    <row r="20" spans="1:10" ht="48" x14ac:dyDescent="0.2">
      <c r="A20" s="34" t="s">
        <v>49</v>
      </c>
      <c r="B20" s="35">
        <f t="shared" ref="B20:H20" si="3">B10-B19</f>
        <v>561.26263871763251</v>
      </c>
      <c r="C20" s="35">
        <f t="shared" si="3"/>
        <v>561.26263871763251</v>
      </c>
      <c r="D20" s="35">
        <f t="shared" si="3"/>
        <v>311.2749691738594</v>
      </c>
      <c r="E20" s="35">
        <f t="shared" si="3"/>
        <v>262.08384710234282</v>
      </c>
      <c r="F20" s="35">
        <f t="shared" si="3"/>
        <v>266.11590628853264</v>
      </c>
      <c r="G20" s="35">
        <f t="shared" si="3"/>
        <v>0</v>
      </c>
      <c r="H20" s="35">
        <f t="shared" si="3"/>
        <v>0</v>
      </c>
      <c r="I20" s="24"/>
      <c r="J20" s="22" t="s">
        <v>38</v>
      </c>
    </row>
    <row r="21" spans="1:10" ht="32" x14ac:dyDescent="0.2">
      <c r="A21" s="36" t="s">
        <v>39</v>
      </c>
      <c r="B21" s="22">
        <v>0</v>
      </c>
      <c r="C21" s="22">
        <v>0</v>
      </c>
      <c r="D21" s="22">
        <v>0</v>
      </c>
      <c r="E21" s="22">
        <v>0</v>
      </c>
      <c r="F21" s="22">
        <v>0</v>
      </c>
      <c r="G21" s="22">
        <v>0</v>
      </c>
      <c r="H21" s="22">
        <v>0</v>
      </c>
      <c r="I21" s="24"/>
      <c r="J21" s="22"/>
    </row>
    <row r="22" spans="1:10" x14ac:dyDescent="0.2">
      <c r="A22" s="37" t="s">
        <v>40</v>
      </c>
      <c r="B22" s="137">
        <f t="shared" ref="B22:H22" si="4">B20-B21</f>
        <v>561.26263871763251</v>
      </c>
      <c r="C22" s="137">
        <f t="shared" si="4"/>
        <v>561.26263871763251</v>
      </c>
      <c r="D22" s="137">
        <f t="shared" si="4"/>
        <v>311.2749691738594</v>
      </c>
      <c r="E22" s="137">
        <f t="shared" si="4"/>
        <v>262.08384710234282</v>
      </c>
      <c r="F22" s="137">
        <f t="shared" si="4"/>
        <v>266.11590628853264</v>
      </c>
      <c r="G22" s="24">
        <f t="shared" si="4"/>
        <v>0</v>
      </c>
      <c r="H22" s="24">
        <f t="shared" si="4"/>
        <v>0</v>
      </c>
      <c r="I22" s="12"/>
      <c r="J22" s="12"/>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FA83-8861-2B45-B8A5-73BD7C16E7FC}">
  <dimension ref="A1:P27"/>
  <sheetViews>
    <sheetView zoomScale="160" zoomScaleNormal="160" workbookViewId="0">
      <selection activeCell="B6" sqref="B6"/>
    </sheetView>
  </sheetViews>
  <sheetFormatPr baseColWidth="10" defaultColWidth="10.5" defaultRowHeight="15" x14ac:dyDescent="0.2"/>
  <cols>
    <col min="1" max="1" width="14.6640625" customWidth="1"/>
    <col min="6" max="6" width="11.5" customWidth="1"/>
    <col min="7" max="8" width="11.5" hidden="1" customWidth="1"/>
    <col min="10" max="10" width="16.83203125" customWidth="1"/>
  </cols>
  <sheetData>
    <row r="1" spans="1:12" x14ac:dyDescent="0.2">
      <c r="A1" s="9"/>
      <c r="B1" s="10" t="s">
        <v>18</v>
      </c>
      <c r="C1" s="10" t="s">
        <v>41</v>
      </c>
      <c r="D1" s="10" t="s">
        <v>47</v>
      </c>
      <c r="E1" s="10" t="s">
        <v>50</v>
      </c>
      <c r="F1" s="10" t="s">
        <v>83</v>
      </c>
      <c r="G1" s="10" t="s">
        <v>84</v>
      </c>
      <c r="H1" s="10" t="s">
        <v>85</v>
      </c>
      <c r="I1" s="10" t="s">
        <v>42</v>
      </c>
      <c r="J1" s="10" t="s">
        <v>19</v>
      </c>
    </row>
    <row r="2" spans="1:12" x14ac:dyDescent="0.2">
      <c r="A2" s="11"/>
      <c r="B2" s="12" t="s">
        <v>74</v>
      </c>
      <c r="C2" s="12" t="s">
        <v>86</v>
      </c>
      <c r="D2" s="12" t="s">
        <v>118</v>
      </c>
      <c r="E2" s="68" t="s">
        <v>119</v>
      </c>
      <c r="F2" s="12" t="s">
        <v>120</v>
      </c>
      <c r="G2" s="13"/>
      <c r="H2" s="13"/>
      <c r="I2" s="12"/>
      <c r="J2" s="13"/>
    </row>
    <row r="3" spans="1:12" ht="16" x14ac:dyDescent="0.2">
      <c r="A3" s="218" t="s">
        <v>21</v>
      </c>
      <c r="B3" s="142">
        <f>Regelsätze!C4</f>
        <v>506</v>
      </c>
      <c r="C3" s="101">
        <f>B3</f>
        <v>506</v>
      </c>
      <c r="D3" s="101">
        <f>Regelsätze!C8</f>
        <v>357</v>
      </c>
      <c r="E3" s="101">
        <f>Regelsätze!C7</f>
        <v>390</v>
      </c>
      <c r="F3" s="101">
        <f>Regelsätze!C7</f>
        <v>390</v>
      </c>
      <c r="G3" s="101"/>
      <c r="H3" s="102"/>
      <c r="I3" s="101"/>
      <c r="J3" s="15" t="s">
        <v>22</v>
      </c>
    </row>
    <row r="4" spans="1:12" ht="16" x14ac:dyDescent="0.2">
      <c r="A4" s="218"/>
      <c r="B4" s="142"/>
      <c r="C4" s="101"/>
      <c r="D4" s="101">
        <v>20</v>
      </c>
      <c r="E4" s="101">
        <v>20</v>
      </c>
      <c r="F4" s="101">
        <v>20</v>
      </c>
      <c r="G4" s="101"/>
      <c r="H4" s="102"/>
      <c r="I4" s="101"/>
      <c r="J4" s="17" t="s">
        <v>111</v>
      </c>
    </row>
    <row r="5" spans="1:12" ht="16" x14ac:dyDescent="0.2">
      <c r="A5" s="218"/>
      <c r="B5" s="101">
        <v>0</v>
      </c>
      <c r="C5" s="101">
        <v>0</v>
      </c>
      <c r="D5" s="101">
        <v>0</v>
      </c>
      <c r="E5" s="101">
        <v>0</v>
      </c>
      <c r="F5" s="101">
        <v>0</v>
      </c>
      <c r="G5" s="101"/>
      <c r="H5" s="101"/>
      <c r="I5" s="101"/>
      <c r="J5" s="17" t="s">
        <v>23</v>
      </c>
    </row>
    <row r="6" spans="1:12" ht="16" x14ac:dyDescent="0.2">
      <c r="A6" s="218"/>
      <c r="B6" s="51">
        <f>(1170-120)/6</f>
        <v>175</v>
      </c>
      <c r="C6" s="51">
        <f t="shared" ref="C6:F6" si="0">(1170-120)/6</f>
        <v>175</v>
      </c>
      <c r="D6" s="51">
        <f t="shared" si="0"/>
        <v>175</v>
      </c>
      <c r="E6" s="51">
        <f t="shared" si="0"/>
        <v>175</v>
      </c>
      <c r="F6" s="51">
        <f t="shared" si="0"/>
        <v>175</v>
      </c>
      <c r="G6" s="55"/>
      <c r="H6" s="55"/>
      <c r="I6" s="55"/>
      <c r="J6" s="17" t="s">
        <v>24</v>
      </c>
    </row>
    <row r="7" spans="1:12" ht="16" x14ac:dyDescent="0.2">
      <c r="A7" s="218"/>
      <c r="B7" s="101">
        <f>SUM(B3:B6)</f>
        <v>681</v>
      </c>
      <c r="C7" s="101">
        <f>SUM(C3:C6)</f>
        <v>681</v>
      </c>
      <c r="D7" s="101">
        <f>SUM(D3:D6)</f>
        <v>552</v>
      </c>
      <c r="E7" s="101">
        <f>SUM(E3:E6)</f>
        <v>585</v>
      </c>
      <c r="F7" s="101">
        <f>SUM(F3:F6)</f>
        <v>585</v>
      </c>
      <c r="G7" s="101"/>
      <c r="H7" s="101"/>
      <c r="I7" s="101"/>
      <c r="J7" s="17" t="s">
        <v>25</v>
      </c>
    </row>
    <row r="8" spans="1:12" ht="32" x14ac:dyDescent="0.2">
      <c r="A8" s="23" t="s">
        <v>26</v>
      </c>
      <c r="B8" s="21"/>
      <c r="C8" s="21"/>
      <c r="D8" s="21"/>
      <c r="E8" s="21"/>
      <c r="F8" s="21"/>
      <c r="G8" s="21"/>
      <c r="H8" s="21"/>
      <c r="I8" s="48"/>
      <c r="J8" s="22" t="s">
        <v>113</v>
      </c>
    </row>
    <row r="9" spans="1:12" ht="32" x14ac:dyDescent="0.2">
      <c r="A9" s="23" t="s">
        <v>27</v>
      </c>
      <c r="B9" s="24"/>
      <c r="C9" s="24"/>
      <c r="D9" s="24">
        <v>250</v>
      </c>
      <c r="E9" s="24">
        <v>250</v>
      </c>
      <c r="F9" s="24">
        <v>250</v>
      </c>
      <c r="G9" s="24"/>
      <c r="H9" s="100"/>
      <c r="I9" s="24"/>
      <c r="J9" s="22" t="s">
        <v>112</v>
      </c>
      <c r="L9" s="79"/>
    </row>
    <row r="10" spans="1:12" ht="16" x14ac:dyDescent="0.2">
      <c r="A10" s="25" t="s">
        <v>28</v>
      </c>
      <c r="B10" s="153">
        <f>B7</f>
        <v>681</v>
      </c>
      <c r="C10" s="153">
        <f>C7</f>
        <v>681</v>
      </c>
      <c r="D10" s="153">
        <f>D7-D9</f>
        <v>302</v>
      </c>
      <c r="E10" s="153">
        <f t="shared" ref="E10:F10" si="1">E7-E9</f>
        <v>335</v>
      </c>
      <c r="F10" s="153">
        <f t="shared" si="1"/>
        <v>335</v>
      </c>
      <c r="G10" s="153"/>
      <c r="H10" s="153"/>
      <c r="I10" s="153">
        <f>SUM(B10:H10)</f>
        <v>2334</v>
      </c>
      <c r="J10" s="27"/>
    </row>
    <row r="11" spans="1:12" ht="16" x14ac:dyDescent="0.2">
      <c r="A11" s="25" t="s">
        <v>44</v>
      </c>
      <c r="B11" s="48">
        <f>B10/I10</f>
        <v>0.29177377892030848</v>
      </c>
      <c r="C11" s="48">
        <f>C10/I10</f>
        <v>0.29177377892030848</v>
      </c>
      <c r="D11" s="48">
        <f>D10/I10</f>
        <v>0.12939160239931449</v>
      </c>
      <c r="E11" s="48">
        <f>E10/I10</f>
        <v>0.14353041988003429</v>
      </c>
      <c r="F11" s="48">
        <f>F10/I10</f>
        <v>0.14353041988003429</v>
      </c>
      <c r="G11" s="48"/>
      <c r="H11" s="48"/>
      <c r="I11" s="48"/>
      <c r="J11" s="22"/>
    </row>
    <row r="12" spans="1:12" ht="32" x14ac:dyDescent="0.2">
      <c r="A12" s="1" t="s">
        <v>29</v>
      </c>
      <c r="B12" s="51"/>
      <c r="C12" s="51"/>
      <c r="D12" s="51"/>
      <c r="E12" s="51"/>
      <c r="F12" s="51"/>
      <c r="G12" s="51"/>
      <c r="H12" s="51"/>
      <c r="I12" s="52"/>
      <c r="J12" s="53" t="s">
        <v>30</v>
      </c>
    </row>
    <row r="13" spans="1:12" ht="32" x14ac:dyDescent="0.2">
      <c r="A13" s="152"/>
      <c r="B13" s="55">
        <v>538</v>
      </c>
      <c r="C13" s="55"/>
      <c r="D13" s="55"/>
      <c r="E13" s="55"/>
      <c r="F13" s="55"/>
      <c r="G13" s="55"/>
      <c r="H13" s="55"/>
      <c r="I13" s="55"/>
      <c r="J13" s="53" t="s">
        <v>31</v>
      </c>
    </row>
    <row r="14" spans="1:12" ht="32" x14ac:dyDescent="0.2">
      <c r="A14" s="1"/>
      <c r="B14" s="55"/>
      <c r="C14" s="55">
        <v>750</v>
      </c>
      <c r="D14" s="55"/>
      <c r="E14" s="55"/>
      <c r="F14" s="55"/>
      <c r="G14" s="55"/>
      <c r="H14" s="55"/>
      <c r="I14" s="55"/>
      <c r="J14" s="53" t="s">
        <v>32</v>
      </c>
    </row>
    <row r="15" spans="1:12" ht="32" x14ac:dyDescent="0.2">
      <c r="A15" s="2"/>
      <c r="B15" s="141"/>
      <c r="C15" s="55">
        <v>30</v>
      </c>
      <c r="D15" s="56"/>
      <c r="E15" s="56"/>
      <c r="F15" s="56"/>
      <c r="G15" s="56"/>
      <c r="H15" s="56"/>
      <c r="I15" s="56"/>
      <c r="J15" s="53" t="s">
        <v>33</v>
      </c>
    </row>
    <row r="16" spans="1:12" ht="16" x14ac:dyDescent="0.2">
      <c r="A16" s="1"/>
      <c r="B16" s="55">
        <v>100</v>
      </c>
      <c r="C16" s="55"/>
      <c r="D16" s="55"/>
      <c r="E16" s="55"/>
      <c r="F16" s="55"/>
      <c r="G16" s="55"/>
      <c r="H16" s="55"/>
      <c r="I16" s="55"/>
      <c r="J16" s="53" t="s">
        <v>34</v>
      </c>
    </row>
    <row r="17" spans="1:16" ht="16" x14ac:dyDescent="0.2">
      <c r="A17" s="1"/>
      <c r="B17" s="55">
        <f>(520-100)*0.2+(538-520)*0.3</f>
        <v>89.4</v>
      </c>
      <c r="C17" s="55"/>
      <c r="D17" s="55"/>
      <c r="E17" s="55"/>
      <c r="F17" s="55"/>
      <c r="G17" s="55"/>
      <c r="H17" s="55"/>
      <c r="I17" s="55"/>
      <c r="J17" s="135" t="s">
        <v>35</v>
      </c>
    </row>
    <row r="18" spans="1:16" ht="32" x14ac:dyDescent="0.2">
      <c r="A18" s="1" t="s">
        <v>121</v>
      </c>
      <c r="B18" s="55">
        <f>B13-B16-B17</f>
        <v>348.6</v>
      </c>
      <c r="C18" s="55">
        <f>C14-C15</f>
        <v>720</v>
      </c>
      <c r="D18" s="55"/>
      <c r="E18" s="55"/>
      <c r="F18" s="55"/>
      <c r="G18" s="55"/>
      <c r="H18" s="55"/>
      <c r="I18" s="55">
        <f>SUM(B18:H18)</f>
        <v>1068.5999999999999</v>
      </c>
      <c r="J18" s="53" t="s">
        <v>122</v>
      </c>
    </row>
    <row r="19" spans="1:16" ht="32" x14ac:dyDescent="0.2">
      <c r="A19" s="34" t="s">
        <v>36</v>
      </c>
      <c r="B19" s="137">
        <f>I18*B11</f>
        <v>311.78946015424162</v>
      </c>
      <c r="C19" s="137">
        <f>I18*C11</f>
        <v>311.78946015424162</v>
      </c>
      <c r="D19" s="137">
        <f>I18*D11</f>
        <v>138.26786632390744</v>
      </c>
      <c r="E19" s="137">
        <f>I18*E11</f>
        <v>153.37660668380462</v>
      </c>
      <c r="F19" s="137">
        <f>I18*F11</f>
        <v>153.37660668380462</v>
      </c>
      <c r="G19" s="137"/>
      <c r="H19" s="137"/>
      <c r="I19" s="137">
        <f>SUM(B19:H19)</f>
        <v>1068.5999999999999</v>
      </c>
      <c r="J19" s="22" t="s">
        <v>123</v>
      </c>
    </row>
    <row r="20" spans="1:16" ht="64" x14ac:dyDescent="0.2">
      <c r="A20" s="34" t="s">
        <v>49</v>
      </c>
      <c r="B20" s="138">
        <f>B10-B19</f>
        <v>369.21053984575838</v>
      </c>
      <c r="C20" s="138">
        <f t="shared" ref="C20:I20" si="2">C10-C19</f>
        <v>369.21053984575838</v>
      </c>
      <c r="D20" s="138">
        <f t="shared" si="2"/>
        <v>163.73213367609256</v>
      </c>
      <c r="E20" s="138">
        <f t="shared" si="2"/>
        <v>181.62339331619538</v>
      </c>
      <c r="F20" s="138">
        <f t="shared" si="2"/>
        <v>181.62339331619538</v>
      </c>
      <c r="G20" s="138">
        <f t="shared" si="2"/>
        <v>0</v>
      </c>
      <c r="H20" s="138">
        <f t="shared" si="2"/>
        <v>0</v>
      </c>
      <c r="I20" s="138">
        <f t="shared" si="2"/>
        <v>1265.4000000000001</v>
      </c>
      <c r="J20" s="12"/>
    </row>
    <row r="21" spans="1:16" ht="32" x14ac:dyDescent="0.2">
      <c r="A21" s="34" t="s">
        <v>39</v>
      </c>
      <c r="B21" s="22"/>
      <c r="C21" s="22"/>
      <c r="D21" s="22"/>
      <c r="E21" s="22"/>
      <c r="F21" s="22"/>
      <c r="G21" s="22"/>
      <c r="H21" s="22"/>
      <c r="I21" s="24"/>
      <c r="J21" s="22"/>
    </row>
    <row r="22" spans="1:16" ht="16" x14ac:dyDescent="0.2">
      <c r="A22" s="37" t="s">
        <v>40</v>
      </c>
      <c r="B22" s="154">
        <f>B20</f>
        <v>369.21053984575838</v>
      </c>
      <c r="C22" s="154">
        <f t="shared" ref="C22:I22" si="3">C20</f>
        <v>369.21053984575838</v>
      </c>
      <c r="D22" s="154">
        <f t="shared" si="3"/>
        <v>163.73213367609256</v>
      </c>
      <c r="E22" s="154">
        <f t="shared" si="3"/>
        <v>181.62339331619538</v>
      </c>
      <c r="F22" s="154">
        <f t="shared" si="3"/>
        <v>181.62339331619538</v>
      </c>
      <c r="G22" s="154">
        <f t="shared" si="3"/>
        <v>0</v>
      </c>
      <c r="H22" s="154">
        <f t="shared" si="3"/>
        <v>0</v>
      </c>
      <c r="I22" s="154">
        <f t="shared" si="3"/>
        <v>1265.4000000000001</v>
      </c>
      <c r="J22" s="22" t="s">
        <v>38</v>
      </c>
    </row>
    <row r="27" spans="1:16" x14ac:dyDescent="0.2">
      <c r="P27" s="77"/>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1"/>
  <sheetViews>
    <sheetView zoomScaleNormal="100" workbookViewId="0">
      <selection activeCell="H21" sqref="H21"/>
    </sheetView>
  </sheetViews>
  <sheetFormatPr baseColWidth="10" defaultColWidth="10.5" defaultRowHeight="15" x14ac:dyDescent="0.2"/>
  <cols>
    <col min="1" max="1" width="16" customWidth="1"/>
    <col min="2" max="2" width="12.83203125" customWidth="1"/>
    <col min="3" max="3" width="10.1640625" customWidth="1"/>
    <col min="4" max="4" width="11.1640625" customWidth="1"/>
    <col min="5" max="5" width="14.5" customWidth="1"/>
    <col min="6" max="7" width="7.83203125" hidden="1" customWidth="1"/>
    <col min="8" max="8" width="12.5" customWidth="1"/>
    <col min="9" max="9" width="23.83203125" customWidth="1"/>
  </cols>
  <sheetData>
    <row r="1" spans="1:9" x14ac:dyDescent="0.2">
      <c r="A1" s="9"/>
      <c r="B1" s="10" t="s">
        <v>18</v>
      </c>
      <c r="C1" s="10" t="s">
        <v>41</v>
      </c>
      <c r="D1" s="10" t="s">
        <v>50</v>
      </c>
      <c r="E1" s="10" t="s">
        <v>83</v>
      </c>
      <c r="F1" s="10" t="s">
        <v>84</v>
      </c>
      <c r="G1" s="10" t="s">
        <v>85</v>
      </c>
      <c r="H1" s="10" t="s">
        <v>42</v>
      </c>
      <c r="I1" s="10" t="s">
        <v>19</v>
      </c>
    </row>
    <row r="2" spans="1:9" x14ac:dyDescent="0.2">
      <c r="A2" s="11"/>
      <c r="B2" s="12" t="s">
        <v>90</v>
      </c>
      <c r="C2" s="12" t="s">
        <v>91</v>
      </c>
      <c r="D2" s="68" t="s">
        <v>92</v>
      </c>
      <c r="E2" s="12" t="s">
        <v>93</v>
      </c>
      <c r="F2" s="13"/>
      <c r="G2" s="13"/>
      <c r="H2" s="12"/>
      <c r="I2" s="13"/>
    </row>
    <row r="3" spans="1:9" ht="16" x14ac:dyDescent="0.2">
      <c r="A3" s="218" t="s">
        <v>21</v>
      </c>
      <c r="B3" s="101">
        <f>Regelsätze!C4</f>
        <v>506</v>
      </c>
      <c r="C3" s="101">
        <f>Regelsätze!C4</f>
        <v>506</v>
      </c>
      <c r="D3" s="101">
        <f>Regelsätze!C5</f>
        <v>451</v>
      </c>
      <c r="E3" s="101">
        <f>Regelsätze!C7</f>
        <v>390</v>
      </c>
      <c r="F3" s="101">
        <v>0</v>
      </c>
      <c r="G3" s="102">
        <v>0</v>
      </c>
      <c r="H3" s="101"/>
      <c r="I3" s="53" t="s">
        <v>22</v>
      </c>
    </row>
    <row r="4" spans="1:9" ht="16" x14ac:dyDescent="0.2">
      <c r="A4" s="218"/>
      <c r="B4" s="101">
        <v>0</v>
      </c>
      <c r="C4" s="101">
        <v>0</v>
      </c>
      <c r="D4" s="101">
        <v>0</v>
      </c>
      <c r="E4" s="101">
        <v>0</v>
      </c>
      <c r="F4" s="101">
        <v>0</v>
      </c>
      <c r="G4" s="101">
        <v>0</v>
      </c>
      <c r="H4" s="101"/>
      <c r="I4" s="53" t="s">
        <v>23</v>
      </c>
    </row>
    <row r="5" spans="1:9" ht="16" x14ac:dyDescent="0.2">
      <c r="A5" s="218"/>
      <c r="B5" s="51">
        <f>(720+230)/5</f>
        <v>190</v>
      </c>
      <c r="C5" s="55">
        <f>B5</f>
        <v>190</v>
      </c>
      <c r="D5" s="55">
        <f>C5</f>
        <v>190</v>
      </c>
      <c r="E5" s="55">
        <v>190</v>
      </c>
      <c r="F5" s="55">
        <v>0</v>
      </c>
      <c r="G5" s="55">
        <v>0</v>
      </c>
      <c r="H5" s="55"/>
      <c r="I5" s="53" t="s">
        <v>24</v>
      </c>
    </row>
    <row r="6" spans="1:9" ht="16" x14ac:dyDescent="0.2">
      <c r="A6" s="218"/>
      <c r="B6" s="101">
        <f t="shared" ref="B6:G6" si="0">SUM(B3:B5)</f>
        <v>696</v>
      </c>
      <c r="C6" s="101">
        <f t="shared" si="0"/>
        <v>696</v>
      </c>
      <c r="D6" s="101">
        <f t="shared" si="0"/>
        <v>641</v>
      </c>
      <c r="E6" s="101">
        <f t="shared" si="0"/>
        <v>580</v>
      </c>
      <c r="F6" s="101">
        <f t="shared" si="0"/>
        <v>0</v>
      </c>
      <c r="G6" s="101">
        <f t="shared" si="0"/>
        <v>0</v>
      </c>
      <c r="H6" s="101">
        <f>SUM(B6:D6)</f>
        <v>2033</v>
      </c>
      <c r="I6" s="53" t="s">
        <v>25</v>
      </c>
    </row>
    <row r="7" spans="1:9" ht="32" x14ac:dyDescent="0.2">
      <c r="A7" s="20" t="s">
        <v>26</v>
      </c>
      <c r="B7" s="21">
        <v>0</v>
      </c>
      <c r="C7" s="21">
        <v>0</v>
      </c>
      <c r="D7" s="21">
        <v>0</v>
      </c>
      <c r="E7" s="21">
        <v>0</v>
      </c>
      <c r="F7" s="21">
        <v>0</v>
      </c>
      <c r="G7" s="21">
        <v>0</v>
      </c>
      <c r="H7" s="48"/>
      <c r="I7" s="22"/>
    </row>
    <row r="8" spans="1:9" ht="32" x14ac:dyDescent="0.2">
      <c r="A8" s="23" t="s">
        <v>27</v>
      </c>
      <c r="B8" s="24">
        <v>0</v>
      </c>
      <c r="C8" s="24">
        <v>0</v>
      </c>
      <c r="D8" s="24"/>
      <c r="E8" s="24">
        <f>Regelsätze!C11</f>
        <v>250</v>
      </c>
      <c r="F8" s="24">
        <v>0</v>
      </c>
      <c r="G8" s="100">
        <v>0</v>
      </c>
      <c r="H8" s="24">
        <f>SUM(B8:G8)</f>
        <v>250</v>
      </c>
      <c r="I8" s="22"/>
    </row>
    <row r="9" spans="1:9" ht="16" x14ac:dyDescent="0.2">
      <c r="A9" s="25" t="s">
        <v>28</v>
      </c>
      <c r="B9" s="26">
        <f t="shared" ref="B9:G9" si="1">B3+B4+B5-B7-B8</f>
        <v>696</v>
      </c>
      <c r="C9" s="26">
        <f t="shared" si="1"/>
        <v>696</v>
      </c>
      <c r="D9" s="26">
        <f t="shared" si="1"/>
        <v>641</v>
      </c>
      <c r="E9" s="26">
        <f t="shared" si="1"/>
        <v>330</v>
      </c>
      <c r="F9" s="26">
        <f t="shared" si="1"/>
        <v>0</v>
      </c>
      <c r="G9" s="26">
        <f t="shared" si="1"/>
        <v>0</v>
      </c>
      <c r="H9" s="49">
        <f>B9+C9+D9</f>
        <v>2033</v>
      </c>
      <c r="I9" s="27"/>
    </row>
    <row r="10" spans="1:9" ht="16" x14ac:dyDescent="0.2">
      <c r="A10" s="25" t="s">
        <v>44</v>
      </c>
      <c r="B10" s="48">
        <f>B9/H9</f>
        <v>0.34235120511559269</v>
      </c>
      <c r="C10" s="48">
        <f>C9/H9</f>
        <v>0.34235120511559269</v>
      </c>
      <c r="D10" s="48">
        <f>D9/H9</f>
        <v>0.31529758976881456</v>
      </c>
      <c r="E10" s="48">
        <v>0</v>
      </c>
      <c r="F10" s="48">
        <f>F9/H9</f>
        <v>0</v>
      </c>
      <c r="G10" s="48">
        <f>G9/H9</f>
        <v>0</v>
      </c>
      <c r="H10" s="50">
        <f>SUM(B10:G10)</f>
        <v>1</v>
      </c>
      <c r="I10" s="22"/>
    </row>
    <row r="11" spans="1:9" ht="16" x14ac:dyDescent="0.2">
      <c r="A11" s="2" t="s">
        <v>29</v>
      </c>
      <c r="B11" s="51">
        <v>920</v>
      </c>
      <c r="C11" s="51">
        <v>0</v>
      </c>
      <c r="D11" s="51">
        <v>0</v>
      </c>
      <c r="E11" s="51">
        <v>0</v>
      </c>
      <c r="F11" s="51">
        <v>0</v>
      </c>
      <c r="G11" s="51">
        <v>0</v>
      </c>
      <c r="H11" s="52"/>
      <c r="I11" s="53" t="s">
        <v>30</v>
      </c>
    </row>
    <row r="12" spans="1:9" ht="16" x14ac:dyDescent="0.2">
      <c r="A12" s="54"/>
      <c r="B12" s="55">
        <v>735</v>
      </c>
      <c r="C12" s="55">
        <v>0</v>
      </c>
      <c r="D12" s="55">
        <v>0</v>
      </c>
      <c r="E12" s="55">
        <v>0</v>
      </c>
      <c r="F12" s="55">
        <v>0</v>
      </c>
      <c r="G12" s="55">
        <v>0</v>
      </c>
      <c r="H12" s="55"/>
      <c r="I12" s="53" t="s">
        <v>31</v>
      </c>
    </row>
    <row r="13" spans="1:9" ht="16" x14ac:dyDescent="0.2">
      <c r="A13" s="2"/>
      <c r="B13" s="55">
        <v>0</v>
      </c>
      <c r="C13" s="55">
        <v>0</v>
      </c>
      <c r="D13" s="55"/>
      <c r="E13" s="55"/>
      <c r="F13" s="55"/>
      <c r="G13" s="55"/>
      <c r="H13" s="55"/>
      <c r="I13" s="53" t="s">
        <v>32</v>
      </c>
    </row>
    <row r="14" spans="1:9" ht="32" x14ac:dyDescent="0.2">
      <c r="A14" s="2"/>
      <c r="B14" s="55">
        <v>0</v>
      </c>
      <c r="C14" s="55">
        <v>0</v>
      </c>
      <c r="D14" s="56">
        <v>0</v>
      </c>
      <c r="E14" s="56">
        <v>0</v>
      </c>
      <c r="F14" s="56">
        <v>0</v>
      </c>
      <c r="G14" s="56">
        <v>0</v>
      </c>
      <c r="H14" s="56"/>
      <c r="I14" s="53" t="s">
        <v>33</v>
      </c>
    </row>
    <row r="15" spans="1:9" ht="16" x14ac:dyDescent="0.2">
      <c r="A15" s="2"/>
      <c r="B15" s="55">
        <v>100</v>
      </c>
      <c r="C15" s="55">
        <v>0</v>
      </c>
      <c r="D15" s="55">
        <v>0</v>
      </c>
      <c r="E15" s="55">
        <v>0</v>
      </c>
      <c r="F15" s="55">
        <v>0</v>
      </c>
      <c r="G15" s="55">
        <v>0</v>
      </c>
      <c r="H15" s="55"/>
      <c r="I15" s="53" t="s">
        <v>34</v>
      </c>
    </row>
    <row r="16" spans="1:9" ht="16" x14ac:dyDescent="0.2">
      <c r="A16" s="2"/>
      <c r="B16" s="55">
        <f>820*0.2</f>
        <v>164</v>
      </c>
      <c r="C16" s="55">
        <v>0</v>
      </c>
      <c r="D16" s="55">
        <v>0</v>
      </c>
      <c r="E16" s="55">
        <v>0</v>
      </c>
      <c r="F16" s="55">
        <v>0</v>
      </c>
      <c r="G16" s="55">
        <v>0</v>
      </c>
      <c r="H16" s="55"/>
      <c r="I16" s="53" t="s">
        <v>35</v>
      </c>
    </row>
    <row r="17" spans="1:9" ht="16" x14ac:dyDescent="0.2">
      <c r="A17" s="2"/>
      <c r="B17" s="55">
        <f>B12-B15-B16</f>
        <v>471</v>
      </c>
      <c r="C17" s="55">
        <f>(C12-C15-C16)+C13-C14</f>
        <v>0</v>
      </c>
      <c r="D17" s="55">
        <f>(D12-D15-D16)+D13-D14</f>
        <v>0</v>
      </c>
      <c r="E17" s="55">
        <f>(E12-E15-E16)+E13-E14</f>
        <v>0</v>
      </c>
      <c r="F17" s="55">
        <f>(F12-F15-F16)+F13-F14</f>
        <v>0</v>
      </c>
      <c r="G17" s="55">
        <f>(G12-G15-G16)+G13-G14</f>
        <v>0</v>
      </c>
      <c r="H17" s="55">
        <f>SUM(B17:G17)</f>
        <v>471</v>
      </c>
      <c r="I17" s="53" t="s">
        <v>25</v>
      </c>
    </row>
    <row r="18" spans="1:9" ht="32" x14ac:dyDescent="0.2">
      <c r="A18" s="34" t="s">
        <v>36</v>
      </c>
      <c r="B18" s="24">
        <f>H17*B10</f>
        <v>161.24741760944417</v>
      </c>
      <c r="C18" s="24">
        <f>H17*C10</f>
        <v>161.24741760944417</v>
      </c>
      <c r="D18" s="24">
        <f>D10*H17</f>
        <v>148.50516478111166</v>
      </c>
      <c r="E18" s="24">
        <f>E10*H17</f>
        <v>0</v>
      </c>
      <c r="F18" s="24">
        <f>H17*F10</f>
        <v>0</v>
      </c>
      <c r="G18" s="24">
        <f>H17*G10</f>
        <v>0</v>
      </c>
      <c r="H18" s="24">
        <f>SUM(B18:G18)</f>
        <v>471</v>
      </c>
      <c r="I18" s="22"/>
    </row>
    <row r="19" spans="1:9" ht="48" x14ac:dyDescent="0.2">
      <c r="A19" s="34" t="s">
        <v>49</v>
      </c>
      <c r="B19" s="35">
        <f t="shared" ref="B19:G19" si="2">B9-B18</f>
        <v>534.75258239055586</v>
      </c>
      <c r="C19" s="35">
        <f t="shared" si="2"/>
        <v>534.75258239055586</v>
      </c>
      <c r="D19" s="35">
        <f t="shared" si="2"/>
        <v>492.49483521888834</v>
      </c>
      <c r="E19" s="35">
        <f t="shared" si="2"/>
        <v>330</v>
      </c>
      <c r="F19" s="35">
        <f t="shared" si="2"/>
        <v>0</v>
      </c>
      <c r="G19" s="35">
        <f t="shared" si="2"/>
        <v>0</v>
      </c>
      <c r="H19" s="24"/>
      <c r="I19" s="22" t="s">
        <v>38</v>
      </c>
    </row>
    <row r="20" spans="1:9" ht="32" x14ac:dyDescent="0.2">
      <c r="A20" s="36" t="s">
        <v>39</v>
      </c>
      <c r="B20" s="22">
        <v>0</v>
      </c>
      <c r="C20" s="22">
        <v>0</v>
      </c>
      <c r="D20" s="22">
        <v>0</v>
      </c>
      <c r="E20" s="22">
        <v>0</v>
      </c>
      <c r="F20" s="22">
        <v>0</v>
      </c>
      <c r="G20" s="22">
        <v>0</v>
      </c>
      <c r="H20" s="24"/>
      <c r="I20" s="22"/>
    </row>
    <row r="21" spans="1:9" x14ac:dyDescent="0.2">
      <c r="A21" s="37" t="s">
        <v>40</v>
      </c>
      <c r="B21" s="24">
        <f t="shared" ref="B21:G21" si="3">B19-B20</f>
        <v>534.75258239055586</v>
      </c>
      <c r="C21" s="24">
        <f t="shared" si="3"/>
        <v>534.75258239055586</v>
      </c>
      <c r="D21" s="24">
        <f t="shared" si="3"/>
        <v>492.49483521888834</v>
      </c>
      <c r="E21" s="24">
        <f t="shared" si="3"/>
        <v>330</v>
      </c>
      <c r="F21" s="24">
        <f t="shared" si="3"/>
        <v>0</v>
      </c>
      <c r="G21" s="24">
        <f t="shared" si="3"/>
        <v>0</v>
      </c>
      <c r="H21" s="24">
        <f>SUM(B21:G21)</f>
        <v>1892</v>
      </c>
      <c r="I21" s="12"/>
    </row>
  </sheetData>
  <mergeCells count="1">
    <mergeCell ref="A3:A6"/>
  </mergeCells>
  <pageMargins left="0.7" right="0.7" top="0.78749999999999998" bottom="0.78749999999999998"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2"/>
  <sheetViews>
    <sheetView zoomScaleNormal="100" workbookViewId="0">
      <selection activeCell="E3" sqref="E3"/>
    </sheetView>
  </sheetViews>
  <sheetFormatPr baseColWidth="10" defaultColWidth="10.5" defaultRowHeight="15" x14ac:dyDescent="0.2"/>
  <cols>
    <col min="1" max="1" width="16" customWidth="1"/>
    <col min="2" max="2" width="12.83203125" customWidth="1"/>
    <col min="3" max="4" width="10.1640625" customWidth="1"/>
    <col min="5" max="5" width="11.1640625" customWidth="1"/>
    <col min="6" max="6" width="14.5" customWidth="1"/>
    <col min="7" max="8" width="7.83203125" hidden="1" customWidth="1"/>
    <col min="9" max="9" width="12.5" customWidth="1"/>
    <col min="10" max="10" width="23.83203125" customWidth="1"/>
  </cols>
  <sheetData>
    <row r="1" spans="1:10" x14ac:dyDescent="0.2">
      <c r="A1" s="9"/>
      <c r="B1" s="10" t="s">
        <v>18</v>
      </c>
      <c r="C1" s="10" t="s">
        <v>41</v>
      </c>
      <c r="D1" s="10" t="s">
        <v>42</v>
      </c>
      <c r="E1" s="10" t="s">
        <v>50</v>
      </c>
      <c r="F1" s="10" t="s">
        <v>83</v>
      </c>
      <c r="G1" s="10" t="s">
        <v>84</v>
      </c>
      <c r="H1" s="10" t="s">
        <v>85</v>
      </c>
      <c r="I1" s="10" t="s">
        <v>42</v>
      </c>
      <c r="J1" s="10" t="s">
        <v>19</v>
      </c>
    </row>
    <row r="2" spans="1:10" x14ac:dyDescent="0.2">
      <c r="A2" s="103"/>
      <c r="B2" s="221" t="s">
        <v>94</v>
      </c>
      <c r="C2" s="221"/>
      <c r="D2" s="221"/>
      <c r="E2" s="104" t="s">
        <v>95</v>
      </c>
      <c r="F2" s="105"/>
      <c r="G2" s="105"/>
      <c r="H2" s="105"/>
      <c r="I2" s="105"/>
      <c r="J2" s="105"/>
    </row>
    <row r="3" spans="1:10" x14ac:dyDescent="0.2">
      <c r="A3" s="11"/>
      <c r="B3" s="106" t="s">
        <v>90</v>
      </c>
      <c r="C3" s="106" t="s">
        <v>91</v>
      </c>
      <c r="D3" s="106"/>
      <c r="E3" s="107" t="s">
        <v>92</v>
      </c>
      <c r="F3" s="107" t="s">
        <v>93</v>
      </c>
      <c r="G3" s="12"/>
      <c r="H3" s="12"/>
      <c r="I3" s="12"/>
      <c r="J3" s="13"/>
    </row>
    <row r="4" spans="1:10" ht="16" x14ac:dyDescent="0.2">
      <c r="A4" s="218" t="s">
        <v>21</v>
      </c>
      <c r="B4" s="108">
        <f>Regelsätze!C4</f>
        <v>506</v>
      </c>
      <c r="C4" s="108">
        <f>Regelsätze!C4</f>
        <v>506</v>
      </c>
      <c r="D4" s="108"/>
      <c r="E4" s="109">
        <f>Regelsätze!C3</f>
        <v>563</v>
      </c>
      <c r="F4" s="109">
        <f>Regelsätze!C7</f>
        <v>390</v>
      </c>
      <c r="G4" s="101">
        <v>0</v>
      </c>
      <c r="H4" s="102">
        <v>0</v>
      </c>
      <c r="I4" s="101"/>
      <c r="J4" s="15" t="s">
        <v>22</v>
      </c>
    </row>
    <row r="5" spans="1:10" ht="16" x14ac:dyDescent="0.2">
      <c r="A5" s="218"/>
      <c r="B5" s="108">
        <v>0</v>
      </c>
      <c r="C5" s="108">
        <v>0</v>
      </c>
      <c r="D5" s="108"/>
      <c r="E5" s="109">
        <f>E4*0.12</f>
        <v>67.56</v>
      </c>
      <c r="F5" s="109">
        <v>0</v>
      </c>
      <c r="G5" s="101">
        <v>0</v>
      </c>
      <c r="H5" s="101">
        <v>0</v>
      </c>
      <c r="I5" s="101"/>
      <c r="J5" s="17" t="s">
        <v>23</v>
      </c>
    </row>
    <row r="6" spans="1:10" ht="16" x14ac:dyDescent="0.2">
      <c r="A6" s="218"/>
      <c r="B6" s="110">
        <f>(720+230)/5</f>
        <v>190</v>
      </c>
      <c r="C6" s="111">
        <f>B6</f>
        <v>190</v>
      </c>
      <c r="D6" s="111"/>
      <c r="E6" s="112">
        <f>C6</f>
        <v>190</v>
      </c>
      <c r="F6" s="112">
        <v>190</v>
      </c>
      <c r="G6" s="55">
        <v>0</v>
      </c>
      <c r="H6" s="55">
        <v>0</v>
      </c>
      <c r="I6" s="55"/>
      <c r="J6" s="17" t="s">
        <v>24</v>
      </c>
    </row>
    <row r="7" spans="1:10" ht="16" x14ac:dyDescent="0.2">
      <c r="A7" s="218"/>
      <c r="B7" s="108">
        <f>SUM(B4:B6)</f>
        <v>696</v>
      </c>
      <c r="C7" s="108">
        <f>SUM(C4:C6)</f>
        <v>696</v>
      </c>
      <c r="D7" s="108">
        <f>SUM(B7:C7)</f>
        <v>1392</v>
      </c>
      <c r="E7" s="109">
        <f>SUM(E4:E6)</f>
        <v>820.56</v>
      </c>
      <c r="F7" s="109">
        <f>SUM(F4:F6)</f>
        <v>580</v>
      </c>
      <c r="G7" s="101">
        <f>SUM(G4:G6)</f>
        <v>0</v>
      </c>
      <c r="H7" s="101">
        <f>SUM(H4:H6)</f>
        <v>0</v>
      </c>
      <c r="I7" s="101">
        <f>SUM(E7:H7)</f>
        <v>1400.56</v>
      </c>
      <c r="J7" s="17" t="s">
        <v>25</v>
      </c>
    </row>
    <row r="8" spans="1:10" ht="32" x14ac:dyDescent="0.2">
      <c r="A8" s="20" t="s">
        <v>26</v>
      </c>
      <c r="B8" s="113">
        <v>0</v>
      </c>
      <c r="C8" s="113">
        <v>0</v>
      </c>
      <c r="D8" s="113"/>
      <c r="E8" s="114">
        <v>0</v>
      </c>
      <c r="F8" s="114">
        <v>0</v>
      </c>
      <c r="G8" s="21">
        <v>0</v>
      </c>
      <c r="H8" s="21">
        <v>0</v>
      </c>
      <c r="I8" s="48"/>
      <c r="J8" s="22"/>
    </row>
    <row r="9" spans="1:10" ht="32" x14ac:dyDescent="0.2">
      <c r="A9" s="23" t="s">
        <v>27</v>
      </c>
      <c r="B9" s="111">
        <v>0</v>
      </c>
      <c r="C9" s="111">
        <v>0</v>
      </c>
      <c r="D9" s="111"/>
      <c r="E9" s="112">
        <v>0</v>
      </c>
      <c r="F9" s="112">
        <f>Regelsätze!C11</f>
        <v>250</v>
      </c>
      <c r="G9" s="24">
        <v>0</v>
      </c>
      <c r="H9" s="100">
        <v>0</v>
      </c>
      <c r="I9" s="24">
        <f>SUM(B9:H9)</f>
        <v>250</v>
      </c>
      <c r="J9" s="22"/>
    </row>
    <row r="10" spans="1:10" ht="16" x14ac:dyDescent="0.2">
      <c r="A10" s="25" t="s">
        <v>28</v>
      </c>
      <c r="B10" s="115">
        <f>B4+B5+B6-B8-B9</f>
        <v>696</v>
      </c>
      <c r="C10" s="115">
        <f>C4+C5+C6-C8-C9</f>
        <v>696</v>
      </c>
      <c r="D10" s="115">
        <f>B10+C10</f>
        <v>1392</v>
      </c>
      <c r="E10" s="116">
        <f>E4+E5+E6-E8-E9</f>
        <v>820.56</v>
      </c>
      <c r="F10" s="116">
        <f>F4+F5+F6-F8-F9</f>
        <v>330</v>
      </c>
      <c r="G10" s="26">
        <f>G4+G5+G6-G8-G9</f>
        <v>0</v>
      </c>
      <c r="H10" s="26">
        <f>H4+H5+H6-H8-H9</f>
        <v>0</v>
      </c>
      <c r="I10" s="49">
        <f>SUM(E10:H10)</f>
        <v>1150.56</v>
      </c>
      <c r="J10" s="27"/>
    </row>
    <row r="11" spans="1:10" ht="16" x14ac:dyDescent="0.2">
      <c r="A11" s="25" t="s">
        <v>44</v>
      </c>
      <c r="B11" s="117">
        <f>B10/D10</f>
        <v>0.5</v>
      </c>
      <c r="C11" s="117">
        <f>C10/D10</f>
        <v>0.5</v>
      </c>
      <c r="D11" s="117"/>
      <c r="E11" s="118">
        <f>E10/I10</f>
        <v>0.71318314559866502</v>
      </c>
      <c r="F11" s="118">
        <f>F10/I10</f>
        <v>0.28681685440133503</v>
      </c>
      <c r="G11" s="48">
        <f>G10/I10</f>
        <v>0</v>
      </c>
      <c r="H11" s="48">
        <f>H10/I10</f>
        <v>0</v>
      </c>
      <c r="I11" s="50"/>
      <c r="J11" s="22"/>
    </row>
    <row r="12" spans="1:10" ht="16" x14ac:dyDescent="0.2">
      <c r="A12" s="2" t="s">
        <v>29</v>
      </c>
      <c r="B12" s="110">
        <v>920</v>
      </c>
      <c r="C12" s="110">
        <v>0</v>
      </c>
      <c r="D12" s="110"/>
      <c r="E12" s="119">
        <v>0</v>
      </c>
      <c r="F12" s="119">
        <v>0</v>
      </c>
      <c r="G12" s="51">
        <v>0</v>
      </c>
      <c r="H12" s="51">
        <v>0</v>
      </c>
      <c r="I12" s="51"/>
      <c r="J12" s="53" t="s">
        <v>30</v>
      </c>
    </row>
    <row r="13" spans="1:10" ht="16" x14ac:dyDescent="0.2">
      <c r="A13" s="54"/>
      <c r="B13" s="111">
        <v>735</v>
      </c>
      <c r="C13" s="110">
        <v>0</v>
      </c>
      <c r="D13" s="110"/>
      <c r="E13" s="119">
        <v>0</v>
      </c>
      <c r="F13" s="119">
        <v>0</v>
      </c>
      <c r="G13" s="51">
        <v>0</v>
      </c>
      <c r="H13" s="51">
        <v>0</v>
      </c>
      <c r="I13" s="51"/>
      <c r="J13" s="53" t="s">
        <v>31</v>
      </c>
    </row>
    <row r="14" spans="1:10" ht="16" x14ac:dyDescent="0.2">
      <c r="A14" s="2"/>
      <c r="B14" s="111">
        <v>0</v>
      </c>
      <c r="C14" s="110">
        <v>0</v>
      </c>
      <c r="D14" s="110"/>
      <c r="E14" s="119">
        <v>0</v>
      </c>
      <c r="F14" s="119">
        <v>0</v>
      </c>
      <c r="G14" s="51"/>
      <c r="H14" s="51"/>
      <c r="I14" s="51"/>
      <c r="J14" s="53" t="s">
        <v>32</v>
      </c>
    </row>
    <row r="15" spans="1:10" ht="32" x14ac:dyDescent="0.2">
      <c r="A15" s="2"/>
      <c r="B15" s="111">
        <v>0</v>
      </c>
      <c r="C15" s="110">
        <v>0</v>
      </c>
      <c r="D15" s="110"/>
      <c r="E15" s="119">
        <v>0</v>
      </c>
      <c r="F15" s="119">
        <v>0</v>
      </c>
      <c r="G15" s="51">
        <v>0</v>
      </c>
      <c r="H15" s="51">
        <v>0</v>
      </c>
      <c r="I15" s="51"/>
      <c r="J15" s="53" t="s">
        <v>33</v>
      </c>
    </row>
    <row r="16" spans="1:10" ht="16" x14ac:dyDescent="0.2">
      <c r="A16" s="2"/>
      <c r="B16" s="111">
        <v>100</v>
      </c>
      <c r="C16" s="110">
        <v>0</v>
      </c>
      <c r="D16" s="110"/>
      <c r="E16" s="119">
        <v>0</v>
      </c>
      <c r="F16" s="119">
        <v>0</v>
      </c>
      <c r="G16" s="51">
        <v>0</v>
      </c>
      <c r="H16" s="51">
        <v>0</v>
      </c>
      <c r="I16" s="51"/>
      <c r="J16" s="53" t="s">
        <v>34</v>
      </c>
    </row>
    <row r="17" spans="1:10" ht="16" x14ac:dyDescent="0.2">
      <c r="A17" s="2"/>
      <c r="B17" s="111">
        <f>820*0.2</f>
        <v>164</v>
      </c>
      <c r="C17" s="110">
        <v>0</v>
      </c>
      <c r="D17" s="110"/>
      <c r="E17" s="119">
        <v>0</v>
      </c>
      <c r="F17" s="119">
        <v>0</v>
      </c>
      <c r="G17" s="51">
        <v>0</v>
      </c>
      <c r="H17" s="51">
        <v>0</v>
      </c>
      <c r="I17" s="51"/>
      <c r="J17" s="53" t="s">
        <v>35</v>
      </c>
    </row>
    <row r="18" spans="1:10" ht="16" x14ac:dyDescent="0.2">
      <c r="A18" s="2"/>
      <c r="B18" s="111">
        <f>B13-B16-B17</f>
        <v>471</v>
      </c>
      <c r="C18" s="111">
        <f>(C13-C16-C17)+C14-C15</f>
        <v>0</v>
      </c>
      <c r="D18" s="111">
        <f>SUM(B18:C18)</f>
        <v>471</v>
      </c>
      <c r="E18" s="112">
        <f>(E13-E16-E17)+E14-E15</f>
        <v>0</v>
      </c>
      <c r="F18" s="112">
        <f>(F13-F16-F17)+F14-F15</f>
        <v>0</v>
      </c>
      <c r="G18" s="55">
        <f>(G13-G16-G17)+G14-G15</f>
        <v>0</v>
      </c>
      <c r="H18" s="55">
        <f>(H13-H16-H17)+H14-H15</f>
        <v>0</v>
      </c>
      <c r="I18" s="55"/>
      <c r="J18" s="53" t="s">
        <v>25</v>
      </c>
    </row>
    <row r="19" spans="1:10" ht="32" x14ac:dyDescent="0.2">
      <c r="A19" s="34" t="s">
        <v>36</v>
      </c>
      <c r="B19" s="111">
        <f>B11*D18</f>
        <v>235.5</v>
      </c>
      <c r="C19" s="111">
        <f>C11*D18</f>
        <v>235.5</v>
      </c>
      <c r="D19" s="111"/>
      <c r="E19" s="112">
        <f>E11*I18</f>
        <v>0</v>
      </c>
      <c r="F19" s="112">
        <f>F11*I18</f>
        <v>0</v>
      </c>
      <c r="G19" s="24">
        <f>I18*G11</f>
        <v>0</v>
      </c>
      <c r="H19" s="24">
        <f>I18*H11</f>
        <v>0</v>
      </c>
      <c r="I19" s="24">
        <f>SUM(B19:H19)</f>
        <v>471</v>
      </c>
      <c r="J19" s="22"/>
    </row>
    <row r="20" spans="1:10" ht="48" x14ac:dyDescent="0.2">
      <c r="A20" s="34" t="s">
        <v>49</v>
      </c>
      <c r="B20" s="120">
        <f>B10-B19</f>
        <v>460.5</v>
      </c>
      <c r="C20" s="120">
        <f>C10-C19</f>
        <v>460.5</v>
      </c>
      <c r="D20" s="120"/>
      <c r="E20" s="121">
        <f>E10-E19</f>
        <v>820.56</v>
      </c>
      <c r="F20" s="121">
        <f>F10-F19</f>
        <v>330</v>
      </c>
      <c r="G20" s="35">
        <f>G10-G19</f>
        <v>0</v>
      </c>
      <c r="H20" s="35">
        <f>H10-H19</f>
        <v>0</v>
      </c>
      <c r="I20" s="24"/>
      <c r="J20" s="22" t="s">
        <v>38</v>
      </c>
    </row>
    <row r="21" spans="1:10" ht="32" x14ac:dyDescent="0.2">
      <c r="A21" s="36" t="s">
        <v>39</v>
      </c>
      <c r="B21" s="122">
        <v>0</v>
      </c>
      <c r="C21" s="122">
        <v>0</v>
      </c>
      <c r="D21" s="122"/>
      <c r="E21" s="123">
        <v>0</v>
      </c>
      <c r="F21" s="123">
        <v>0</v>
      </c>
      <c r="G21" s="22">
        <v>0</v>
      </c>
      <c r="H21" s="22">
        <v>0</v>
      </c>
      <c r="I21" s="24"/>
      <c r="J21" s="22"/>
    </row>
    <row r="22" spans="1:10" x14ac:dyDescent="0.2">
      <c r="A22" s="124" t="s">
        <v>40</v>
      </c>
      <c r="B22" s="111">
        <f>B20-B21</f>
        <v>460.5</v>
      </c>
      <c r="C22" s="111">
        <f>C20-C21</f>
        <v>460.5</v>
      </c>
      <c r="D22" s="111"/>
      <c r="E22" s="112">
        <f>E20-E21</f>
        <v>820.56</v>
      </c>
      <c r="F22" s="112">
        <f>F20-F21</f>
        <v>330</v>
      </c>
      <c r="G22" s="24">
        <f>G20-G21</f>
        <v>0</v>
      </c>
      <c r="H22" s="24">
        <f>H20-H21</f>
        <v>0</v>
      </c>
      <c r="I22" s="24">
        <f>SUM(B22:H22)</f>
        <v>2071.56</v>
      </c>
      <c r="J22" s="12"/>
    </row>
  </sheetData>
  <mergeCells count="2">
    <mergeCell ref="B2:D2"/>
    <mergeCell ref="A4:A7"/>
  </mergeCells>
  <pageMargins left="0.7" right="0.7" top="0.78749999999999998" bottom="0.78749999999999998" header="0.511811023622047" footer="0.511811023622047"/>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7"/>
  <sheetViews>
    <sheetView topLeftCell="A6" zoomScale="160" zoomScaleNormal="160" workbookViewId="0">
      <selection activeCell="B6" sqref="B1:J1048576"/>
    </sheetView>
  </sheetViews>
  <sheetFormatPr baseColWidth="10" defaultColWidth="10.5" defaultRowHeight="15" x14ac:dyDescent="0.2"/>
  <cols>
    <col min="1" max="1" width="14.6640625" customWidth="1"/>
    <col min="6" max="8" width="11.5" customWidth="1"/>
    <col min="10" max="10" width="16.83203125" customWidth="1"/>
  </cols>
  <sheetData>
    <row r="1" spans="1:12" x14ac:dyDescent="0.2">
      <c r="A1" s="9"/>
      <c r="B1" s="10" t="s">
        <v>18</v>
      </c>
      <c r="C1" s="10" t="s">
        <v>41</v>
      </c>
      <c r="D1" s="10" t="s">
        <v>47</v>
      </c>
      <c r="E1" s="10" t="s">
        <v>50</v>
      </c>
      <c r="F1" s="10" t="s">
        <v>83</v>
      </c>
      <c r="G1" s="10" t="s">
        <v>84</v>
      </c>
      <c r="H1" s="10" t="s">
        <v>85</v>
      </c>
      <c r="I1" s="10" t="s">
        <v>42</v>
      </c>
      <c r="J1" s="10" t="s">
        <v>19</v>
      </c>
    </row>
    <row r="2" spans="1:12" x14ac:dyDescent="0.2">
      <c r="A2" s="11"/>
      <c r="B2" s="12" t="s">
        <v>96</v>
      </c>
      <c r="C2" s="12" t="s">
        <v>97</v>
      </c>
      <c r="D2" s="12" t="s">
        <v>98</v>
      </c>
      <c r="E2" s="68" t="s">
        <v>99</v>
      </c>
      <c r="F2" s="12"/>
      <c r="G2" s="13"/>
      <c r="H2" s="13"/>
      <c r="I2" s="12"/>
      <c r="J2" s="13"/>
    </row>
    <row r="3" spans="1:12" ht="16" x14ac:dyDescent="0.2">
      <c r="A3" s="218" t="s">
        <v>21</v>
      </c>
      <c r="B3" s="134">
        <f>Regelsätze!C3</f>
        <v>563</v>
      </c>
      <c r="C3" s="14">
        <f>Regelsätze!C6</f>
        <v>471</v>
      </c>
      <c r="D3" s="59">
        <f>Regelsätze!C6</f>
        <v>471</v>
      </c>
      <c r="E3" s="59">
        <f>Regelsätze!C7</f>
        <v>390</v>
      </c>
      <c r="F3" s="59"/>
      <c r="G3" s="14">
        <v>0</v>
      </c>
      <c r="H3" s="99">
        <v>0</v>
      </c>
      <c r="I3" s="44"/>
      <c r="J3" s="15" t="s">
        <v>22</v>
      </c>
    </row>
    <row r="4" spans="1:12" ht="16" x14ac:dyDescent="0.2">
      <c r="A4" s="218"/>
      <c r="B4" s="134"/>
      <c r="C4" s="16">
        <v>20</v>
      </c>
      <c r="D4" s="60">
        <v>20</v>
      </c>
      <c r="E4" s="60">
        <v>20</v>
      </c>
      <c r="F4" s="60"/>
      <c r="G4" s="60"/>
      <c r="H4" s="127"/>
      <c r="I4" s="45"/>
      <c r="J4" s="17" t="s">
        <v>111</v>
      </c>
    </row>
    <row r="5" spans="1:12" ht="16" x14ac:dyDescent="0.2">
      <c r="A5" s="218"/>
      <c r="B5" s="16">
        <f>B3*0.12*3</f>
        <v>202.68</v>
      </c>
      <c r="C5" s="16">
        <v>0</v>
      </c>
      <c r="D5" s="60">
        <v>0</v>
      </c>
      <c r="E5" s="60"/>
      <c r="F5" s="60"/>
      <c r="G5" s="60">
        <v>0</v>
      </c>
      <c r="H5" s="16">
        <v>0</v>
      </c>
      <c r="I5" s="45"/>
      <c r="J5" s="17" t="s">
        <v>23</v>
      </c>
    </row>
    <row r="6" spans="1:12" ht="16" x14ac:dyDescent="0.2">
      <c r="A6" s="218"/>
      <c r="B6" s="18">
        <f>(750-35)/4</f>
        <v>178.75</v>
      </c>
      <c r="C6" s="18">
        <f>(750-35)/4</f>
        <v>178.75</v>
      </c>
      <c r="D6" s="18">
        <f>(750-35)/4</f>
        <v>178.75</v>
      </c>
      <c r="E6" s="18">
        <f>(750-35)/4</f>
        <v>178.75</v>
      </c>
      <c r="F6" s="61"/>
      <c r="G6" s="61">
        <v>0</v>
      </c>
      <c r="H6" s="30">
        <v>0</v>
      </c>
      <c r="I6" s="46"/>
      <c r="J6" s="17" t="s">
        <v>24</v>
      </c>
    </row>
    <row r="7" spans="1:12" ht="16" x14ac:dyDescent="0.2">
      <c r="A7" s="218"/>
      <c r="B7" s="19">
        <f>SUM(B3:B6)</f>
        <v>944.43000000000006</v>
      </c>
      <c r="C7" s="19">
        <f>SUM(C3:C6)</f>
        <v>669.75</v>
      </c>
      <c r="D7" s="62">
        <f>SUM(D3:D6)</f>
        <v>669.75</v>
      </c>
      <c r="E7" s="62">
        <f>SUM(E3:E6)</f>
        <v>588.75</v>
      </c>
      <c r="F7" s="62"/>
      <c r="G7" s="62">
        <f>SUM(G3:G6)</f>
        <v>0</v>
      </c>
      <c r="H7" s="19">
        <f>SUM(H3:H6)</f>
        <v>0</v>
      </c>
      <c r="I7" s="47">
        <f>SUM(B7:E7)</f>
        <v>2872.6800000000003</v>
      </c>
      <c r="J7" s="17" t="s">
        <v>25</v>
      </c>
    </row>
    <row r="8" spans="1:12" ht="32" x14ac:dyDescent="0.2">
      <c r="A8" s="20" t="s">
        <v>26</v>
      </c>
      <c r="B8" s="21">
        <v>0</v>
      </c>
      <c r="C8" s="21">
        <v>338</v>
      </c>
      <c r="D8" s="21">
        <v>338</v>
      </c>
      <c r="E8" s="21">
        <v>252</v>
      </c>
      <c r="F8" s="21"/>
      <c r="G8" s="21">
        <v>0</v>
      </c>
      <c r="H8" s="21">
        <v>0</v>
      </c>
      <c r="I8" s="48"/>
      <c r="J8" s="22" t="s">
        <v>113</v>
      </c>
    </row>
    <row r="9" spans="1:12" ht="32" x14ac:dyDescent="0.2">
      <c r="A9" s="23" t="s">
        <v>27</v>
      </c>
      <c r="B9" s="24">
        <v>0</v>
      </c>
      <c r="C9" s="24">
        <f>Regelsätze!B11</f>
        <v>255</v>
      </c>
      <c r="D9" s="24">
        <f>Regelsätze!B11</f>
        <v>255</v>
      </c>
      <c r="E9" s="24">
        <f>Regelsätze!C11</f>
        <v>250</v>
      </c>
      <c r="F9" s="24"/>
      <c r="G9" s="24">
        <v>0</v>
      </c>
      <c r="H9" s="100">
        <v>0</v>
      </c>
      <c r="I9" s="24"/>
      <c r="J9" s="22" t="s">
        <v>112</v>
      </c>
      <c r="L9" s="79"/>
    </row>
    <row r="10" spans="1:12" ht="16" x14ac:dyDescent="0.2">
      <c r="A10" s="25" t="s">
        <v>28</v>
      </c>
      <c r="B10" s="136">
        <f>B7</f>
        <v>944.43000000000006</v>
      </c>
      <c r="C10" s="136">
        <f>C7-C8-C9</f>
        <v>76.75</v>
      </c>
      <c r="D10" s="136">
        <f>D7-D8-D9</f>
        <v>76.75</v>
      </c>
      <c r="E10" s="136">
        <f>E7-E8-E9</f>
        <v>86.75</v>
      </c>
      <c r="F10" s="26"/>
      <c r="G10" s="26">
        <f>G3+G5+G6-G8-G9</f>
        <v>0</v>
      </c>
      <c r="H10" s="26">
        <f>H3+H5+H6-H8-H9</f>
        <v>0</v>
      </c>
      <c r="I10" s="49">
        <f>SUM(B10:H10)</f>
        <v>1184.68</v>
      </c>
      <c r="J10" s="27"/>
    </row>
    <row r="11" spans="1:12" ht="16" x14ac:dyDescent="0.2">
      <c r="A11" s="25" t="s">
        <v>44</v>
      </c>
      <c r="B11" s="48">
        <f>B10/I10</f>
        <v>0.79720262011682486</v>
      </c>
      <c r="C11" s="48">
        <f>C10/I10</f>
        <v>6.4785427288381672E-2</v>
      </c>
      <c r="D11" s="48">
        <f>D10/I10</f>
        <v>6.4785427288381672E-2</v>
      </c>
      <c r="E11" s="48">
        <f>E10/I10</f>
        <v>7.3226525306411855E-2</v>
      </c>
      <c r="F11" s="48">
        <f>F10/I10</f>
        <v>0</v>
      </c>
      <c r="G11" s="48">
        <f>G10/I10</f>
        <v>0</v>
      </c>
      <c r="H11" s="48">
        <f>H10/I10</f>
        <v>0</v>
      </c>
      <c r="I11" s="50">
        <f>SUM(B11:H11)</f>
        <v>1</v>
      </c>
      <c r="J11" s="22"/>
    </row>
    <row r="12" spans="1:12" ht="32" x14ac:dyDescent="0.2">
      <c r="A12" s="2" t="s">
        <v>29</v>
      </c>
      <c r="B12" s="51">
        <v>840</v>
      </c>
      <c r="C12" s="51">
        <v>0</v>
      </c>
      <c r="D12" s="51">
        <v>0</v>
      </c>
      <c r="E12" s="51">
        <v>0</v>
      </c>
      <c r="F12" s="51">
        <v>0</v>
      </c>
      <c r="G12" s="51">
        <v>0</v>
      </c>
      <c r="H12" s="51">
        <v>0</v>
      </c>
      <c r="I12" s="52"/>
      <c r="J12" s="53" t="s">
        <v>30</v>
      </c>
    </row>
    <row r="13" spans="1:12" ht="32" x14ac:dyDescent="0.2">
      <c r="A13" s="54"/>
      <c r="B13" s="55">
        <v>690</v>
      </c>
      <c r="C13" s="55">
        <v>0</v>
      </c>
      <c r="D13" s="55">
        <v>0</v>
      </c>
      <c r="E13" s="55">
        <v>0</v>
      </c>
      <c r="F13" s="55">
        <v>0</v>
      </c>
      <c r="G13" s="55">
        <v>0</v>
      </c>
      <c r="H13" s="55">
        <v>0</v>
      </c>
      <c r="I13" s="55"/>
      <c r="J13" s="53" t="s">
        <v>31</v>
      </c>
    </row>
    <row r="14" spans="1:12" ht="32" x14ac:dyDescent="0.2">
      <c r="A14" s="2"/>
      <c r="B14" s="55"/>
      <c r="C14" s="55">
        <v>0</v>
      </c>
      <c r="D14" s="55"/>
      <c r="E14" s="55"/>
      <c r="F14" s="55"/>
      <c r="G14" s="55"/>
      <c r="H14" s="55"/>
      <c r="I14" s="55"/>
      <c r="J14" s="53" t="s">
        <v>32</v>
      </c>
    </row>
    <row r="15" spans="1:12" ht="32" x14ac:dyDescent="0.2">
      <c r="A15" s="2"/>
      <c r="B15" s="55">
        <v>0</v>
      </c>
      <c r="C15" s="55">
        <v>0</v>
      </c>
      <c r="D15" s="56">
        <v>0</v>
      </c>
      <c r="E15" s="56">
        <v>0</v>
      </c>
      <c r="F15" s="56">
        <v>0</v>
      </c>
      <c r="G15" s="56">
        <v>0</v>
      </c>
      <c r="H15" s="56">
        <v>0</v>
      </c>
      <c r="I15" s="56"/>
      <c r="J15" s="53" t="s">
        <v>33</v>
      </c>
    </row>
    <row r="16" spans="1:12" ht="16" x14ac:dyDescent="0.2">
      <c r="A16" s="2"/>
      <c r="B16" s="55">
        <v>100</v>
      </c>
      <c r="C16" s="55">
        <v>0</v>
      </c>
      <c r="D16" s="55">
        <v>0</v>
      </c>
      <c r="E16" s="55">
        <v>0</v>
      </c>
      <c r="F16" s="55">
        <v>0</v>
      </c>
      <c r="G16" s="55">
        <v>0</v>
      </c>
      <c r="H16" s="55">
        <v>0</v>
      </c>
      <c r="I16" s="55"/>
      <c r="J16" s="53" t="s">
        <v>34</v>
      </c>
    </row>
    <row r="17" spans="1:16" ht="16" x14ac:dyDescent="0.2">
      <c r="A17" s="2"/>
      <c r="B17" s="55">
        <f>420*0.2+(840-520)*0.3</f>
        <v>180</v>
      </c>
      <c r="C17" s="55">
        <v>0</v>
      </c>
      <c r="D17" s="55">
        <v>0</v>
      </c>
      <c r="E17" s="55">
        <v>0</v>
      </c>
      <c r="F17" s="55">
        <v>0</v>
      </c>
      <c r="G17" s="55">
        <v>0</v>
      </c>
      <c r="H17" s="55">
        <v>0</v>
      </c>
      <c r="I17" s="55"/>
      <c r="J17" s="135" t="s">
        <v>35</v>
      </c>
    </row>
    <row r="18" spans="1:16" ht="16" x14ac:dyDescent="0.2">
      <c r="A18" s="2"/>
      <c r="B18" s="55">
        <f>B13-B16-B17+B14</f>
        <v>410</v>
      </c>
      <c r="C18" s="55">
        <f t="shared" ref="C18:H18" si="0">(C13-C16-C17)+C14-C15</f>
        <v>0</v>
      </c>
      <c r="D18" s="55">
        <f t="shared" si="0"/>
        <v>0</v>
      </c>
      <c r="E18" s="55">
        <f t="shared" si="0"/>
        <v>0</v>
      </c>
      <c r="F18" s="55">
        <f t="shared" si="0"/>
        <v>0</v>
      </c>
      <c r="G18" s="55">
        <f t="shared" si="0"/>
        <v>0</v>
      </c>
      <c r="H18" s="55">
        <f t="shared" si="0"/>
        <v>0</v>
      </c>
      <c r="I18" s="55">
        <f>SUM(B18:H18)</f>
        <v>410</v>
      </c>
      <c r="J18" s="53" t="s">
        <v>25</v>
      </c>
    </row>
    <row r="19" spans="1:16" ht="32" x14ac:dyDescent="0.2">
      <c r="A19" s="34" t="s">
        <v>36</v>
      </c>
      <c r="B19" s="137">
        <f>I18*B11</f>
        <v>326.85307424789818</v>
      </c>
      <c r="C19" s="137">
        <f>I18*C11</f>
        <v>26.562025188236486</v>
      </c>
      <c r="D19" s="137">
        <f>I18*D11</f>
        <v>26.562025188236486</v>
      </c>
      <c r="E19" s="137">
        <f>E11*I18</f>
        <v>30.02287537562886</v>
      </c>
      <c r="F19" s="24">
        <f>F11*I18</f>
        <v>0</v>
      </c>
      <c r="G19" s="24">
        <f>I18*G11</f>
        <v>0</v>
      </c>
      <c r="H19" s="24">
        <f>I18*H11</f>
        <v>0</v>
      </c>
      <c r="I19" s="24">
        <f>SUM(B19:H19)</f>
        <v>410</v>
      </c>
      <c r="J19" s="22"/>
    </row>
    <row r="20" spans="1:16" ht="64" x14ac:dyDescent="0.2">
      <c r="A20" s="34" t="s">
        <v>49</v>
      </c>
      <c r="B20" s="138">
        <f t="shared" ref="B20:H20" si="1">B10-B19</f>
        <v>617.57692575210194</v>
      </c>
      <c r="C20" s="138">
        <f t="shared" si="1"/>
        <v>50.18797481176351</v>
      </c>
      <c r="D20" s="138">
        <f t="shared" si="1"/>
        <v>50.18797481176351</v>
      </c>
      <c r="E20" s="138">
        <f t="shared" si="1"/>
        <v>56.727124624371143</v>
      </c>
      <c r="F20" s="35">
        <f t="shared" si="1"/>
        <v>0</v>
      </c>
      <c r="G20" s="35">
        <f t="shared" si="1"/>
        <v>0</v>
      </c>
      <c r="H20" s="35">
        <f t="shared" si="1"/>
        <v>0</v>
      </c>
      <c r="I20" s="24"/>
      <c r="J20" s="22" t="s">
        <v>38</v>
      </c>
    </row>
    <row r="21" spans="1:16" ht="32" x14ac:dyDescent="0.2">
      <c r="A21" s="36" t="s">
        <v>39</v>
      </c>
      <c r="B21" s="22">
        <v>0</v>
      </c>
      <c r="C21" s="22">
        <v>0</v>
      </c>
      <c r="D21" s="22">
        <v>0</v>
      </c>
      <c r="E21" s="22">
        <v>0</v>
      </c>
      <c r="F21" s="22">
        <v>0</v>
      </c>
      <c r="G21" s="22">
        <v>0</v>
      </c>
      <c r="H21" s="22">
        <v>0</v>
      </c>
      <c r="I21" s="24"/>
      <c r="J21" s="22"/>
    </row>
    <row r="22" spans="1:16" x14ac:dyDescent="0.2">
      <c r="A22" s="37" t="s">
        <v>40</v>
      </c>
      <c r="B22" s="24">
        <f t="shared" ref="B22:H22" si="2">B20-B21</f>
        <v>617.57692575210194</v>
      </c>
      <c r="C22" s="24">
        <f t="shared" si="2"/>
        <v>50.18797481176351</v>
      </c>
      <c r="D22" s="24">
        <f t="shared" si="2"/>
        <v>50.18797481176351</v>
      </c>
      <c r="E22" s="24">
        <f t="shared" si="2"/>
        <v>56.727124624371143</v>
      </c>
      <c r="F22" s="24">
        <f t="shared" si="2"/>
        <v>0</v>
      </c>
      <c r="G22" s="24">
        <f t="shared" si="2"/>
        <v>0</v>
      </c>
      <c r="H22" s="24">
        <f t="shared" si="2"/>
        <v>0</v>
      </c>
      <c r="I22" s="12"/>
      <c r="J22" s="12"/>
    </row>
    <row r="27" spans="1:16" ht="409.6" x14ac:dyDescent="0.2">
      <c r="P27" s="77" t="s">
        <v>110</v>
      </c>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D88E-D4CC-9346-9D95-8C223951E7C3}">
  <dimension ref="A1:O24"/>
  <sheetViews>
    <sheetView topLeftCell="A3" zoomScale="110" zoomScaleNormal="110" workbookViewId="0">
      <selection activeCell="E19" sqref="E19"/>
    </sheetView>
  </sheetViews>
  <sheetFormatPr baseColWidth="10" defaultRowHeight="15" x14ac:dyDescent="0.2"/>
  <cols>
    <col min="1" max="1" width="11.33203125" customWidth="1"/>
    <col min="6" max="8" width="0" hidden="1" customWidth="1"/>
    <col min="9" max="9" width="12.6640625" customWidth="1"/>
    <col min="10" max="10" width="13.5" customWidth="1"/>
  </cols>
  <sheetData>
    <row r="1" spans="1:10" x14ac:dyDescent="0.2">
      <c r="A1" s="148"/>
      <c r="B1" s="10" t="s">
        <v>18</v>
      </c>
      <c r="C1" s="10" t="s">
        <v>41</v>
      </c>
      <c r="D1" s="10" t="s">
        <v>47</v>
      </c>
      <c r="E1" s="10" t="s">
        <v>50</v>
      </c>
      <c r="F1" s="10"/>
      <c r="G1" s="10"/>
      <c r="H1" s="10"/>
      <c r="I1" s="10" t="s">
        <v>42</v>
      </c>
      <c r="J1" s="10" t="s">
        <v>19</v>
      </c>
    </row>
    <row r="2" spans="1:10" x14ac:dyDescent="0.2">
      <c r="A2" s="149"/>
      <c r="B2" s="12" t="s">
        <v>100</v>
      </c>
      <c r="C2" s="12" t="s">
        <v>104</v>
      </c>
      <c r="D2" s="12" t="s">
        <v>101</v>
      </c>
      <c r="E2" s="68" t="s">
        <v>102</v>
      </c>
      <c r="F2" s="12"/>
      <c r="G2" s="13"/>
      <c r="H2" s="13"/>
      <c r="I2" s="12"/>
      <c r="J2" s="13"/>
    </row>
    <row r="3" spans="1:10" ht="16" x14ac:dyDescent="0.2">
      <c r="A3" s="222" t="s">
        <v>21</v>
      </c>
      <c r="B3" s="101">
        <f>Regelsätze!C4</f>
        <v>506</v>
      </c>
      <c r="C3" s="101">
        <f>Regelsätze!C4</f>
        <v>506</v>
      </c>
      <c r="D3" s="101">
        <f>Regelsätze!C7</f>
        <v>390</v>
      </c>
      <c r="E3" s="101">
        <f>Regelsätze!C6</f>
        <v>471</v>
      </c>
      <c r="F3" s="101"/>
      <c r="G3" s="101"/>
      <c r="H3" s="102"/>
      <c r="I3" s="101"/>
      <c r="J3" s="53" t="s">
        <v>22</v>
      </c>
    </row>
    <row r="4" spans="1:10" ht="22" customHeight="1" x14ac:dyDescent="0.2">
      <c r="A4" s="222"/>
      <c r="B4" s="101"/>
      <c r="C4" s="101"/>
      <c r="D4" s="101">
        <v>20</v>
      </c>
      <c r="E4" s="101">
        <v>20</v>
      </c>
      <c r="F4" s="101"/>
      <c r="G4" s="101"/>
      <c r="H4" s="102"/>
      <c r="I4" s="101"/>
      <c r="J4" s="53" t="s">
        <v>103</v>
      </c>
    </row>
    <row r="5" spans="1:10" ht="16" x14ac:dyDescent="0.2">
      <c r="A5" s="222"/>
      <c r="B5" s="101">
        <v>0</v>
      </c>
      <c r="C5" s="101">
        <v>0</v>
      </c>
      <c r="D5" s="101">
        <v>0</v>
      </c>
      <c r="E5" s="101">
        <v>0</v>
      </c>
      <c r="F5" s="101"/>
      <c r="G5" s="101"/>
      <c r="H5" s="101"/>
      <c r="I5" s="101"/>
      <c r="J5" s="53" t="s">
        <v>23</v>
      </c>
    </row>
    <row r="6" spans="1:10" ht="16" x14ac:dyDescent="0.2">
      <c r="A6" s="222"/>
      <c r="B6" s="51">
        <f>(910+230-55)/4</f>
        <v>271.25</v>
      </c>
      <c r="C6" s="55">
        <f>B6</f>
        <v>271.25</v>
      </c>
      <c r="D6" s="55">
        <f>B6</f>
        <v>271.25</v>
      </c>
      <c r="E6" s="55">
        <f>C6</f>
        <v>271.25</v>
      </c>
      <c r="F6" s="55"/>
      <c r="G6" s="55"/>
      <c r="H6" s="55"/>
      <c r="I6" s="55"/>
      <c r="J6" s="53" t="s">
        <v>24</v>
      </c>
    </row>
    <row r="7" spans="1:10" ht="16" x14ac:dyDescent="0.2">
      <c r="A7" s="222"/>
      <c r="B7" s="101">
        <f t="shared" ref="B7:E7" si="0">SUM(B3:B6)</f>
        <v>777.25</v>
      </c>
      <c r="C7" s="101">
        <f t="shared" si="0"/>
        <v>777.25</v>
      </c>
      <c r="D7" s="101">
        <f t="shared" si="0"/>
        <v>681.25</v>
      </c>
      <c r="E7" s="101">
        <f t="shared" si="0"/>
        <v>762.25</v>
      </c>
      <c r="F7" s="101"/>
      <c r="G7" s="101"/>
      <c r="H7" s="101"/>
      <c r="I7" s="101">
        <f>SUM(B7:E7)</f>
        <v>2998</v>
      </c>
      <c r="J7" s="53" t="s">
        <v>25</v>
      </c>
    </row>
    <row r="8" spans="1:10" ht="32" x14ac:dyDescent="0.2">
      <c r="A8" s="20" t="s">
        <v>26</v>
      </c>
      <c r="B8" s="21">
        <v>0</v>
      </c>
      <c r="C8" s="21">
        <v>0</v>
      </c>
      <c r="D8" s="21">
        <v>0</v>
      </c>
      <c r="E8" s="21">
        <v>0</v>
      </c>
      <c r="F8" s="21"/>
      <c r="G8" s="21"/>
      <c r="H8" s="21"/>
      <c r="I8" s="48"/>
      <c r="J8" s="22"/>
    </row>
    <row r="9" spans="1:10" ht="32" x14ac:dyDescent="0.2">
      <c r="A9" s="23" t="s">
        <v>27</v>
      </c>
      <c r="B9" s="24">
        <v>0</v>
      </c>
      <c r="C9" s="24">
        <v>0</v>
      </c>
      <c r="D9" s="24">
        <f>Regelsätze!B11</f>
        <v>255</v>
      </c>
      <c r="E9" s="24">
        <f>Regelsätze!B11</f>
        <v>255</v>
      </c>
      <c r="F9" s="24"/>
      <c r="G9" s="24"/>
      <c r="H9" s="100"/>
      <c r="I9" s="24">
        <f>SUM(B9:H9)</f>
        <v>510</v>
      </c>
      <c r="J9" s="22"/>
    </row>
    <row r="10" spans="1:10" ht="32" x14ac:dyDescent="0.2">
      <c r="A10" s="25" t="s">
        <v>28</v>
      </c>
      <c r="B10" s="128">
        <f t="shared" ref="B10:C10" si="1">B3+B5+B6-B8-B9</f>
        <v>777.25</v>
      </c>
      <c r="C10" s="128">
        <f t="shared" si="1"/>
        <v>777.25</v>
      </c>
      <c r="D10" s="128">
        <f>D7-D9</f>
        <v>426.25</v>
      </c>
      <c r="E10" s="128">
        <f>E7-E9</f>
        <v>507.25</v>
      </c>
      <c r="F10" s="26"/>
      <c r="G10" s="26"/>
      <c r="H10" s="26"/>
      <c r="I10" s="49">
        <f>SUM(B10:H10)</f>
        <v>2488</v>
      </c>
      <c r="J10" s="27"/>
    </row>
    <row r="11" spans="1:10" ht="16" x14ac:dyDescent="0.2">
      <c r="A11" s="25" t="s">
        <v>44</v>
      </c>
      <c r="B11" s="48">
        <f>B10/I10</f>
        <v>0.31239951768488744</v>
      </c>
      <c r="C11" s="48">
        <f>C10/I10</f>
        <v>0.31239951768488744</v>
      </c>
      <c r="D11" s="48">
        <f>D10/I10</f>
        <v>0.17132234726688103</v>
      </c>
      <c r="E11" s="48">
        <f>E10/I10</f>
        <v>0.20387861736334406</v>
      </c>
      <c r="F11" s="48"/>
      <c r="G11" s="48"/>
      <c r="H11" s="48"/>
      <c r="I11" s="50">
        <f>SUM(B11:H11)</f>
        <v>1</v>
      </c>
      <c r="J11" s="22"/>
    </row>
    <row r="12" spans="1:10" ht="48" x14ac:dyDescent="0.2">
      <c r="A12" s="20" t="s">
        <v>29</v>
      </c>
      <c r="B12" s="51"/>
      <c r="C12" s="51">
        <v>1264</v>
      </c>
      <c r="D12" s="51"/>
      <c r="E12" s="51"/>
      <c r="F12" s="51"/>
      <c r="G12" s="51"/>
      <c r="H12" s="51"/>
      <c r="I12" s="52"/>
      <c r="J12" s="53" t="s">
        <v>30</v>
      </c>
    </row>
    <row r="13" spans="1:10" ht="48" x14ac:dyDescent="0.2">
      <c r="A13" s="150"/>
      <c r="B13" s="55">
        <v>538</v>
      </c>
      <c r="C13" s="55">
        <v>988</v>
      </c>
      <c r="D13" s="55"/>
      <c r="E13" s="55"/>
      <c r="F13" s="55"/>
      <c r="G13" s="55"/>
      <c r="H13" s="55"/>
      <c r="I13" s="55"/>
      <c r="J13" s="53" t="s">
        <v>31</v>
      </c>
    </row>
    <row r="14" spans="1:10" ht="32" x14ac:dyDescent="0.2">
      <c r="A14" s="20"/>
      <c r="B14" s="55"/>
      <c r="C14" s="55"/>
      <c r="D14" s="55"/>
      <c r="E14" s="55"/>
      <c r="F14" s="55"/>
      <c r="G14" s="55"/>
      <c r="H14" s="55"/>
      <c r="I14" s="55"/>
      <c r="J14" s="53" t="s">
        <v>32</v>
      </c>
    </row>
    <row r="15" spans="1:10" ht="48" x14ac:dyDescent="0.2">
      <c r="A15" s="20"/>
      <c r="B15" s="55"/>
      <c r="D15" s="56"/>
      <c r="E15" s="56"/>
      <c r="F15" s="56"/>
      <c r="G15" s="56"/>
      <c r="H15" s="56"/>
      <c r="I15" s="56"/>
      <c r="J15" s="53" t="s">
        <v>33</v>
      </c>
    </row>
    <row r="16" spans="1:10" ht="32" x14ac:dyDescent="0.2">
      <c r="A16" s="20"/>
      <c r="B16" s="55">
        <v>100</v>
      </c>
      <c r="C16" s="55">
        <f>100</f>
        <v>100</v>
      </c>
      <c r="D16" s="55"/>
      <c r="E16" s="55"/>
      <c r="F16" s="55"/>
      <c r="G16" s="55"/>
      <c r="H16" s="55"/>
      <c r="I16" s="55"/>
      <c r="J16" s="53" t="s">
        <v>34</v>
      </c>
    </row>
    <row r="17" spans="1:15" ht="32" x14ac:dyDescent="0.2">
      <c r="A17" s="20"/>
      <c r="B17" s="55">
        <f>(520-100)*0.2+18*0.3</f>
        <v>89.4</v>
      </c>
      <c r="C17" s="55">
        <f>420*0.2+480*0.3+264*0.1</f>
        <v>254.4</v>
      </c>
      <c r="D17" s="55"/>
      <c r="E17" s="55"/>
      <c r="F17" s="55"/>
      <c r="G17" s="55"/>
      <c r="H17" s="55"/>
      <c r="I17" s="55"/>
      <c r="J17" s="53" t="s">
        <v>35</v>
      </c>
    </row>
    <row r="18" spans="1:15" ht="32" x14ac:dyDescent="0.2">
      <c r="A18" s="20"/>
      <c r="B18" s="55">
        <f>B13-B16-B17</f>
        <v>348.6</v>
      </c>
      <c r="C18" s="55">
        <f>C13-C16-C17</f>
        <v>633.6</v>
      </c>
      <c r="D18" s="55"/>
      <c r="E18" s="55"/>
      <c r="F18" s="55"/>
      <c r="G18" s="55"/>
      <c r="H18" s="55"/>
      <c r="I18" s="55">
        <f>SUM(B18:H18)</f>
        <v>982.2</v>
      </c>
      <c r="J18" s="53" t="s">
        <v>117</v>
      </c>
    </row>
    <row r="19" spans="1:15" ht="32" x14ac:dyDescent="0.2">
      <c r="A19" s="34" t="s">
        <v>36</v>
      </c>
      <c r="B19" s="130">
        <f>I18*B11</f>
        <v>306.83880627009648</v>
      </c>
      <c r="C19" s="130">
        <f>I18*C11</f>
        <v>306.83880627009648</v>
      </c>
      <c r="D19" s="130">
        <f>I18*D11</f>
        <v>168.27280948553056</v>
      </c>
      <c r="E19" s="130">
        <f>I18*E11</f>
        <v>200.24957797427655</v>
      </c>
      <c r="F19" s="24"/>
      <c r="G19" s="24"/>
      <c r="H19" s="24"/>
      <c r="I19" s="24">
        <f>SUM(B19:H19)</f>
        <v>982.20000000000016</v>
      </c>
      <c r="J19" s="22"/>
    </row>
    <row r="20" spans="1:15" ht="64" x14ac:dyDescent="0.2">
      <c r="A20" s="34" t="s">
        <v>49</v>
      </c>
      <c r="B20" s="129">
        <f>B10-B19</f>
        <v>470.41119372990352</v>
      </c>
      <c r="C20" s="129">
        <f t="shared" ref="C20:E20" si="2">C10-C19</f>
        <v>470.41119372990352</v>
      </c>
      <c r="D20" s="129">
        <f t="shared" si="2"/>
        <v>257.97719051446944</v>
      </c>
      <c r="E20" s="129">
        <f t="shared" si="2"/>
        <v>307.00042202572342</v>
      </c>
      <c r="F20" s="35"/>
      <c r="G20" s="35"/>
      <c r="H20" s="35"/>
      <c r="I20" s="24">
        <f>SUM(B20:H20)</f>
        <v>1505.7999999999997</v>
      </c>
      <c r="J20" s="22" t="s">
        <v>38</v>
      </c>
    </row>
    <row r="21" spans="1:15" ht="48" x14ac:dyDescent="0.2">
      <c r="A21" s="36" t="s">
        <v>39</v>
      </c>
      <c r="B21" s="22"/>
      <c r="C21" s="22"/>
      <c r="D21" s="22"/>
      <c r="E21" s="22"/>
      <c r="F21" s="22"/>
      <c r="G21" s="22"/>
      <c r="H21" s="22"/>
      <c r="I21" s="24"/>
      <c r="J21" s="22"/>
    </row>
    <row r="22" spans="1:15" ht="32" x14ac:dyDescent="0.2">
      <c r="A22" s="151" t="s">
        <v>40</v>
      </c>
      <c r="B22" s="126">
        <f>B10-B19</f>
        <v>470.41119372990352</v>
      </c>
      <c r="C22" s="126">
        <f t="shared" ref="C22:E22" si="3">C10-C19</f>
        <v>470.41119372990352</v>
      </c>
      <c r="D22" s="126">
        <f t="shared" si="3"/>
        <v>257.97719051446944</v>
      </c>
      <c r="E22" s="126">
        <f t="shared" si="3"/>
        <v>307.00042202572342</v>
      </c>
      <c r="F22" s="24"/>
      <c r="G22" s="24"/>
      <c r="H22" s="24"/>
      <c r="I22" s="12"/>
      <c r="J22" s="12"/>
    </row>
    <row r="24" spans="1:15" x14ac:dyDescent="0.2">
      <c r="O24">
        <f>18*0.3</f>
        <v>5.3999999999999995</v>
      </c>
    </row>
  </sheetData>
  <mergeCells count="1">
    <mergeCell ref="A3:A7"/>
  </mergeCells>
  <pageMargins left="0.7" right="0.7" top="0.78740157499999996" bottom="0.78740157499999996" header="0.3" footer="0.3"/>
  <pageSetup paperSize="9" orientation="portrait"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401B-3065-EE4F-81ED-0E4B9D1D1D37}">
  <dimension ref="A1:G25"/>
  <sheetViews>
    <sheetView topLeftCell="A10" zoomScale="130" zoomScaleNormal="130" workbookViewId="0">
      <selection activeCell="D8" sqref="D8"/>
    </sheetView>
  </sheetViews>
  <sheetFormatPr baseColWidth="10" defaultRowHeight="15" x14ac:dyDescent="0.2"/>
  <cols>
    <col min="1" max="1" width="36.83203125" customWidth="1"/>
    <col min="3" max="3" width="21.6640625" customWidth="1"/>
    <col min="4" max="4" width="20.1640625" customWidth="1"/>
    <col min="5" max="5" width="13" customWidth="1"/>
    <col min="6" max="6" width="29.33203125" customWidth="1"/>
    <col min="7" max="8" width="13" customWidth="1"/>
  </cols>
  <sheetData>
    <row r="1" spans="1:7" x14ac:dyDescent="0.2">
      <c r="A1" s="9"/>
      <c r="B1" s="10" t="s">
        <v>18</v>
      </c>
      <c r="C1" s="10" t="s">
        <v>41</v>
      </c>
      <c r="D1" s="10" t="s">
        <v>47</v>
      </c>
      <c r="E1" s="10" t="s">
        <v>42</v>
      </c>
      <c r="F1" s="10" t="s">
        <v>19</v>
      </c>
    </row>
    <row r="2" spans="1:7" x14ac:dyDescent="0.2">
      <c r="A2" s="11"/>
      <c r="B2" s="12" t="s">
        <v>106</v>
      </c>
      <c r="C2" s="12" t="s">
        <v>107</v>
      </c>
      <c r="D2" s="12" t="s">
        <v>108</v>
      </c>
      <c r="E2" s="12"/>
      <c r="F2" s="13"/>
    </row>
    <row r="3" spans="1:7" ht="16" x14ac:dyDescent="0.2">
      <c r="A3" s="218" t="s">
        <v>21</v>
      </c>
      <c r="B3" s="14">
        <f>Regelsätze!C3</f>
        <v>563</v>
      </c>
      <c r="C3" s="14">
        <v>318</v>
      </c>
      <c r="D3" s="59">
        <v>318</v>
      </c>
      <c r="E3" s="44"/>
      <c r="F3" s="15" t="s">
        <v>22</v>
      </c>
    </row>
    <row r="4" spans="1:7" ht="22" customHeight="1" x14ac:dyDescent="0.2">
      <c r="A4" s="218"/>
      <c r="B4" s="16"/>
      <c r="C4" s="16">
        <v>20</v>
      </c>
      <c r="D4" s="60">
        <v>20</v>
      </c>
      <c r="E4" s="45"/>
      <c r="F4" s="17" t="s">
        <v>103</v>
      </c>
    </row>
    <row r="5" spans="1:7" ht="16" x14ac:dyDescent="0.2">
      <c r="A5" s="218"/>
      <c r="B5" s="16">
        <f>B3*0.36</f>
        <v>202.67999999999998</v>
      </c>
      <c r="C5" s="16">
        <v>0</v>
      </c>
      <c r="D5" s="60">
        <v>0</v>
      </c>
      <c r="E5" s="45"/>
      <c r="F5" s="17" t="s">
        <v>23</v>
      </c>
    </row>
    <row r="6" spans="1:7" ht="16" x14ac:dyDescent="0.2">
      <c r="A6" s="218"/>
      <c r="B6" s="18">
        <f>750/3</f>
        <v>250</v>
      </c>
      <c r="C6" s="30">
        <f>B6</f>
        <v>250</v>
      </c>
      <c r="D6" s="61">
        <f>B6</f>
        <v>250</v>
      </c>
      <c r="E6" s="46"/>
      <c r="F6" s="17" t="s">
        <v>24</v>
      </c>
    </row>
    <row r="7" spans="1:7" ht="16" x14ac:dyDescent="0.2">
      <c r="A7" s="218"/>
      <c r="B7" s="19">
        <f t="shared" ref="B7:D7" si="0">SUM(B3:B6)</f>
        <v>1015.68</v>
      </c>
      <c r="C7" s="19">
        <f t="shared" si="0"/>
        <v>588</v>
      </c>
      <c r="D7" s="62">
        <f t="shared" si="0"/>
        <v>588</v>
      </c>
      <c r="E7" s="47">
        <f>SUM(B7:D7)</f>
        <v>2191.6799999999998</v>
      </c>
      <c r="F7" s="17" t="s">
        <v>25</v>
      </c>
    </row>
    <row r="8" spans="1:7" ht="16" x14ac:dyDescent="0.2">
      <c r="A8" s="20" t="s">
        <v>26</v>
      </c>
      <c r="B8" s="21">
        <v>0</v>
      </c>
      <c r="C8" s="21">
        <v>333</v>
      </c>
      <c r="D8" s="21">
        <v>317</v>
      </c>
      <c r="E8" s="48"/>
      <c r="F8" s="22"/>
    </row>
    <row r="9" spans="1:7" ht="16" x14ac:dyDescent="0.2">
      <c r="A9" s="23" t="s">
        <v>27</v>
      </c>
      <c r="B9" s="24">
        <v>0</v>
      </c>
      <c r="C9" s="24">
        <v>250</v>
      </c>
      <c r="D9" s="24">
        <f>Regelsätze!B11</f>
        <v>255</v>
      </c>
      <c r="E9" s="24">
        <f>SUM(B9:D9)</f>
        <v>505</v>
      </c>
      <c r="F9" s="22"/>
    </row>
    <row r="10" spans="1:7" ht="16" x14ac:dyDescent="0.2">
      <c r="A10" s="25" t="s">
        <v>28</v>
      </c>
      <c r="B10" s="128">
        <f t="shared" ref="B10" si="1">B3+B5+B6-B8-B9</f>
        <v>1015.68</v>
      </c>
      <c r="C10" s="128">
        <f>C7-C8-C9</f>
        <v>5</v>
      </c>
      <c r="D10" s="128">
        <f>D7-D8-D9</f>
        <v>16</v>
      </c>
      <c r="E10" s="49">
        <f>SUM(B10:D10)</f>
        <v>1036.6799999999998</v>
      </c>
      <c r="F10" s="27"/>
    </row>
    <row r="11" spans="1:7" ht="16" x14ac:dyDescent="0.2">
      <c r="A11" s="25" t="s">
        <v>44</v>
      </c>
      <c r="B11" s="48">
        <f>B10/E10</f>
        <v>0.97974302581317296</v>
      </c>
      <c r="C11" s="133">
        <f>C10/E10</f>
        <v>4.82308909210171E-3</v>
      </c>
      <c r="D11" s="48">
        <f>D10/E10</f>
        <v>1.5433885094725472E-2</v>
      </c>
      <c r="E11" s="50">
        <f>SUM(B11:D11)</f>
        <v>1.0000000000000002</v>
      </c>
      <c r="F11" s="22"/>
    </row>
    <row r="12" spans="1:7" ht="16" x14ac:dyDescent="0.2">
      <c r="A12" s="2" t="s">
        <v>29</v>
      </c>
      <c r="B12" s="51"/>
      <c r="C12" s="51"/>
      <c r="D12" s="51"/>
      <c r="E12" s="52"/>
      <c r="F12" s="53" t="s">
        <v>30</v>
      </c>
    </row>
    <row r="13" spans="1:7" ht="16" x14ac:dyDescent="0.2">
      <c r="A13" s="54"/>
      <c r="B13" s="55">
        <v>520</v>
      </c>
      <c r="C13" s="55">
        <v>0</v>
      </c>
      <c r="D13" s="55">
        <v>0</v>
      </c>
      <c r="E13" s="55"/>
      <c r="F13" s="53" t="s">
        <v>31</v>
      </c>
    </row>
    <row r="14" spans="1:7" ht="16" x14ac:dyDescent="0.2">
      <c r="A14" s="2"/>
      <c r="B14" s="55"/>
      <c r="C14" s="55">
        <v>0</v>
      </c>
      <c r="D14" s="55">
        <v>0</v>
      </c>
      <c r="E14" s="55"/>
      <c r="F14" s="53" t="s">
        <v>32</v>
      </c>
    </row>
    <row r="15" spans="1:7" ht="32" x14ac:dyDescent="0.2">
      <c r="A15" s="2"/>
      <c r="B15" s="131"/>
      <c r="C15" s="131">
        <v>0</v>
      </c>
      <c r="D15" s="56">
        <v>0</v>
      </c>
      <c r="E15" s="56"/>
      <c r="F15" s="53" t="s">
        <v>33</v>
      </c>
    </row>
    <row r="16" spans="1:7" ht="16" x14ac:dyDescent="0.2">
      <c r="A16" s="2"/>
      <c r="B16" s="55">
        <v>100</v>
      </c>
      <c r="C16" s="55">
        <v>0</v>
      </c>
      <c r="D16" s="55">
        <v>0</v>
      </c>
      <c r="E16" s="55">
        <f>B17+C16+D16</f>
        <v>84</v>
      </c>
      <c r="F16" s="53" t="s">
        <v>34</v>
      </c>
      <c r="G16" s="4"/>
    </row>
    <row r="17" spans="1:7" ht="16" x14ac:dyDescent="0.2">
      <c r="A17" s="2"/>
      <c r="B17" s="55">
        <f>(520-100)*0.2</f>
        <v>84</v>
      </c>
      <c r="C17" s="55"/>
      <c r="D17" s="55"/>
      <c r="E17" s="55"/>
      <c r="F17" s="53" t="s">
        <v>35</v>
      </c>
    </row>
    <row r="18" spans="1:7" ht="16" x14ac:dyDescent="0.2">
      <c r="A18" s="2"/>
      <c r="B18" s="55">
        <f>B13-B16-B17</f>
        <v>336</v>
      </c>
      <c r="C18" s="55"/>
      <c r="D18" s="55"/>
      <c r="E18" s="55">
        <f>SUM(B18:D18)</f>
        <v>336</v>
      </c>
      <c r="F18" s="53" t="s">
        <v>25</v>
      </c>
    </row>
    <row r="19" spans="1:7" ht="16" x14ac:dyDescent="0.2">
      <c r="A19" s="34" t="s">
        <v>36</v>
      </c>
      <c r="B19" s="130">
        <f>E18*0.97</f>
        <v>325.92</v>
      </c>
      <c r="C19" s="130">
        <f>E18*0.01</f>
        <v>3.36</v>
      </c>
      <c r="D19" s="130">
        <f>E18*0.02</f>
        <v>6.72</v>
      </c>
      <c r="E19" s="24">
        <f>SUM(B19:D19)</f>
        <v>336.00000000000006</v>
      </c>
      <c r="F19" s="22"/>
      <c r="G19" s="132"/>
    </row>
    <row r="20" spans="1:7" ht="32" x14ac:dyDescent="0.2">
      <c r="A20" s="34" t="s">
        <v>49</v>
      </c>
      <c r="B20" s="129">
        <f>B10-B19</f>
        <v>689.76</v>
      </c>
      <c r="C20" s="129">
        <f>C10-C19</f>
        <v>1.6400000000000001</v>
      </c>
      <c r="D20" s="129">
        <f>E19*0.01</f>
        <v>3.3600000000000008</v>
      </c>
      <c r="E20" s="24"/>
      <c r="F20" s="22" t="s">
        <v>38</v>
      </c>
    </row>
    <row r="21" spans="1:7" ht="16" x14ac:dyDescent="0.2">
      <c r="A21" s="36" t="s">
        <v>39</v>
      </c>
      <c r="B21" s="22"/>
      <c r="C21" s="22"/>
      <c r="D21" s="22"/>
      <c r="E21" s="24"/>
      <c r="F21" s="22"/>
    </row>
    <row r="22" spans="1:7" x14ac:dyDescent="0.2">
      <c r="A22" s="125" t="s">
        <v>40</v>
      </c>
      <c r="B22" s="126">
        <f>B10-B19</f>
        <v>689.76</v>
      </c>
      <c r="C22" s="126">
        <f t="shared" ref="C22:D22" si="2">C10-C19</f>
        <v>1.6400000000000001</v>
      </c>
      <c r="D22" s="126">
        <f t="shared" si="2"/>
        <v>9.2800000000000011</v>
      </c>
      <c r="E22" s="12"/>
      <c r="F22" s="12"/>
    </row>
    <row r="25" spans="1:7" x14ac:dyDescent="0.2">
      <c r="F25" s="77"/>
    </row>
  </sheetData>
  <mergeCells count="1">
    <mergeCell ref="A3:A7"/>
  </mergeCells>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200" zoomScaleNormal="200" workbookViewId="0">
      <selection activeCell="B3" sqref="B3"/>
    </sheetView>
  </sheetViews>
  <sheetFormatPr baseColWidth="10" defaultColWidth="10.5" defaultRowHeight="15" x14ac:dyDescent="0.2"/>
  <cols>
    <col min="1" max="1" width="22.33203125" customWidth="1"/>
    <col min="2" max="2" width="16.1640625" customWidth="1"/>
    <col min="3" max="3" width="24.33203125" customWidth="1"/>
    <col min="4" max="4" width="27" customWidth="1"/>
  </cols>
  <sheetData>
    <row r="1" spans="1:3" x14ac:dyDescent="0.2">
      <c r="A1" s="9"/>
      <c r="B1" s="10" t="s">
        <v>18</v>
      </c>
      <c r="C1" s="10" t="s">
        <v>19</v>
      </c>
    </row>
    <row r="2" spans="1:3" x14ac:dyDescent="0.2">
      <c r="A2" s="11"/>
      <c r="B2" s="12" t="s">
        <v>20</v>
      </c>
      <c r="C2" s="13"/>
    </row>
    <row r="3" spans="1:3" ht="16" x14ac:dyDescent="0.2">
      <c r="A3" s="215" t="s">
        <v>21</v>
      </c>
      <c r="B3" s="14">
        <f>Regelsätze!C3</f>
        <v>563</v>
      </c>
      <c r="C3" s="15" t="s">
        <v>22</v>
      </c>
    </row>
    <row r="4" spans="1:3" ht="16" x14ac:dyDescent="0.2">
      <c r="A4" s="215"/>
      <c r="B4" s="16">
        <v>0</v>
      </c>
      <c r="C4" s="17" t="s">
        <v>23</v>
      </c>
    </row>
    <row r="5" spans="1:3" ht="16" x14ac:dyDescent="0.2">
      <c r="A5" s="215"/>
      <c r="B5" s="18">
        <v>500</v>
      </c>
      <c r="C5" s="17" t="s">
        <v>24</v>
      </c>
    </row>
    <row r="6" spans="1:3" ht="16" x14ac:dyDescent="0.2">
      <c r="A6" s="215"/>
      <c r="B6" s="19">
        <f>SUM(B3:B5)</f>
        <v>1063</v>
      </c>
      <c r="C6" s="17" t="s">
        <v>25</v>
      </c>
    </row>
    <row r="7" spans="1:3" ht="16" x14ac:dyDescent="0.2">
      <c r="A7" s="20" t="s">
        <v>26</v>
      </c>
      <c r="B7" s="21">
        <v>0</v>
      </c>
      <c r="C7" s="22"/>
    </row>
    <row r="8" spans="1:3" ht="16" x14ac:dyDescent="0.2">
      <c r="A8" s="23" t="s">
        <v>27</v>
      </c>
      <c r="B8" s="24">
        <v>0</v>
      </c>
      <c r="C8" s="22"/>
    </row>
    <row r="9" spans="1:3" ht="16" x14ac:dyDescent="0.2">
      <c r="A9" s="25" t="s">
        <v>28</v>
      </c>
      <c r="B9" s="136">
        <f>B3+B4+B5-B7-B8</f>
        <v>1063</v>
      </c>
      <c r="C9" s="27"/>
    </row>
    <row r="10" spans="1:3" ht="16" x14ac:dyDescent="0.2">
      <c r="A10" s="155" t="s">
        <v>29</v>
      </c>
      <c r="B10" s="18">
        <v>240</v>
      </c>
      <c r="C10" s="17" t="s">
        <v>30</v>
      </c>
    </row>
    <row r="11" spans="1:3" ht="16" x14ac:dyDescent="0.2">
      <c r="A11" s="29"/>
      <c r="B11" s="30">
        <v>0</v>
      </c>
      <c r="C11" s="17" t="s">
        <v>31</v>
      </c>
    </row>
    <row r="12" spans="1:3" ht="16" x14ac:dyDescent="0.2">
      <c r="A12" s="31"/>
      <c r="B12" s="30">
        <v>0</v>
      </c>
      <c r="C12" s="17" t="s">
        <v>32</v>
      </c>
    </row>
    <row r="13" spans="1:3" ht="32" x14ac:dyDescent="0.2">
      <c r="A13" s="31"/>
      <c r="B13" s="30">
        <v>0</v>
      </c>
      <c r="C13" s="17" t="s">
        <v>33</v>
      </c>
    </row>
    <row r="14" spans="1:3" ht="16" x14ac:dyDescent="0.2">
      <c r="A14" s="31"/>
      <c r="B14" s="192">
        <v>100</v>
      </c>
      <c r="C14" s="17" t="s">
        <v>125</v>
      </c>
    </row>
    <row r="15" spans="1:3" ht="16" x14ac:dyDescent="0.2">
      <c r="A15" s="31"/>
      <c r="B15" s="30">
        <f>(B10-B14)*0.2</f>
        <v>28</v>
      </c>
      <c r="C15" s="17" t="s">
        <v>35</v>
      </c>
    </row>
    <row r="16" spans="1:3" ht="16" x14ac:dyDescent="0.2">
      <c r="A16" s="31" t="s">
        <v>21</v>
      </c>
      <c r="B16" s="32"/>
      <c r="C16" s="33" t="s">
        <v>25</v>
      </c>
    </row>
    <row r="17" spans="1:4" ht="16" x14ac:dyDescent="0.2">
      <c r="A17" s="34" t="s">
        <v>117</v>
      </c>
      <c r="B17" s="137">
        <f>B10-B14-B15</f>
        <v>112</v>
      </c>
      <c r="C17" s="22"/>
    </row>
    <row r="18" spans="1:4" ht="16" x14ac:dyDescent="0.2">
      <c r="A18" s="156" t="s">
        <v>38</v>
      </c>
      <c r="B18" s="138">
        <f>B9-B17</f>
        <v>951</v>
      </c>
      <c r="C18" s="22" t="s">
        <v>38</v>
      </c>
    </row>
    <row r="19" spans="1:4" ht="16" x14ac:dyDescent="0.2">
      <c r="A19" s="36" t="s">
        <v>39</v>
      </c>
      <c r="B19" s="22">
        <v>0</v>
      </c>
      <c r="C19" s="22"/>
    </row>
    <row r="20" spans="1:4" x14ac:dyDescent="0.2">
      <c r="A20" s="37" t="s">
        <v>40</v>
      </c>
      <c r="B20" s="24">
        <f>B18-B19</f>
        <v>951</v>
      </c>
      <c r="C20" s="12"/>
    </row>
    <row r="21" spans="1:4" x14ac:dyDescent="0.2">
      <c r="A21" s="4"/>
      <c r="B21" s="4"/>
    </row>
    <row r="22" spans="1:4" x14ac:dyDescent="0.2">
      <c r="A22" s="38"/>
      <c r="B22" s="39"/>
    </row>
    <row r="23" spans="1:4" s="6" customFormat="1" x14ac:dyDescent="0.2">
      <c r="A23" s="4"/>
      <c r="B23" s="4"/>
      <c r="C23"/>
      <c r="D23"/>
    </row>
    <row r="24" spans="1:4" x14ac:dyDescent="0.2">
      <c r="A24" s="40"/>
      <c r="B24" s="3"/>
      <c r="C24" s="6"/>
      <c r="D24" s="6"/>
    </row>
    <row r="25" spans="1:4" x14ac:dyDescent="0.2">
      <c r="A25" s="216"/>
      <c r="B25" s="216"/>
    </row>
    <row r="26" spans="1:4" x14ac:dyDescent="0.2">
      <c r="A26" s="4"/>
      <c r="B26" s="4"/>
    </row>
    <row r="27" spans="1:4" s="6" customFormat="1" x14ac:dyDescent="0.2">
      <c r="A27" s="4"/>
      <c r="B27" s="4"/>
      <c r="C27"/>
      <c r="D27"/>
    </row>
    <row r="28" spans="1:4" x14ac:dyDescent="0.2">
      <c r="A28" s="3"/>
      <c r="B28" s="3"/>
      <c r="C28" s="6"/>
      <c r="D28" s="6"/>
    </row>
    <row r="29" spans="1:4" x14ac:dyDescent="0.2">
      <c r="B29" s="4"/>
    </row>
    <row r="30" spans="1:4" x14ac:dyDescent="0.2">
      <c r="A30" s="3"/>
      <c r="B30" s="3"/>
    </row>
    <row r="31" spans="1:4" x14ac:dyDescent="0.2">
      <c r="A31" s="3"/>
      <c r="B31" s="3"/>
    </row>
    <row r="32" spans="1:4" x14ac:dyDescent="0.2">
      <c r="A32" s="3"/>
      <c r="B32" s="3"/>
    </row>
    <row r="33" spans="1:4" x14ac:dyDescent="0.2">
      <c r="A33" s="3"/>
      <c r="B33" s="3"/>
    </row>
    <row r="34" spans="1:4" x14ac:dyDescent="0.2">
      <c r="A34" s="4"/>
      <c r="B34" s="4"/>
    </row>
    <row r="35" spans="1:4" x14ac:dyDescent="0.2">
      <c r="A35" s="4"/>
      <c r="B35" s="4"/>
    </row>
    <row r="36" spans="1:4" s="6" customFormat="1" x14ac:dyDescent="0.2">
      <c r="A36" s="217"/>
      <c r="B36" s="217"/>
      <c r="C36"/>
      <c r="D36"/>
    </row>
    <row r="37" spans="1:4" x14ac:dyDescent="0.2">
      <c r="A37" s="41"/>
      <c r="B37" s="41"/>
      <c r="C37" s="6"/>
      <c r="D37" s="6"/>
    </row>
    <row r="38" spans="1:4" x14ac:dyDescent="0.2">
      <c r="A38" s="42"/>
      <c r="B38" s="42"/>
    </row>
    <row r="39" spans="1:4" x14ac:dyDescent="0.2">
      <c r="A39" s="42"/>
      <c r="B39" s="42"/>
    </row>
    <row r="40" spans="1:4" x14ac:dyDescent="0.2">
      <c r="A40" s="42"/>
      <c r="B40" s="42"/>
    </row>
    <row r="41" spans="1:4" x14ac:dyDescent="0.2">
      <c r="A41" s="43"/>
      <c r="B41" s="43"/>
    </row>
    <row r="42" spans="1:4" x14ac:dyDescent="0.2">
      <c r="A42" s="4"/>
      <c r="B42" s="4"/>
    </row>
    <row r="43" spans="1:4" x14ac:dyDescent="0.2">
      <c r="A43" s="4"/>
      <c r="B43" s="4"/>
    </row>
    <row r="44" spans="1:4" x14ac:dyDescent="0.2">
      <c r="A44" s="4"/>
      <c r="B44" s="4"/>
    </row>
    <row r="45" spans="1:4" x14ac:dyDescent="0.2">
      <c r="A45" s="4"/>
      <c r="B45" s="4"/>
    </row>
    <row r="46" spans="1:4" x14ac:dyDescent="0.2">
      <c r="A46" s="4"/>
      <c r="B46" s="4"/>
    </row>
    <row r="47" spans="1:4" x14ac:dyDescent="0.2">
      <c r="A47" s="4"/>
      <c r="B47" s="4"/>
    </row>
    <row r="48" spans="1:4" x14ac:dyDescent="0.2">
      <c r="A48" s="4"/>
      <c r="B48" s="4"/>
    </row>
    <row r="49" spans="1:2" x14ac:dyDescent="0.2">
      <c r="A49" s="4"/>
      <c r="B49" s="4"/>
    </row>
  </sheetData>
  <mergeCells count="3">
    <mergeCell ref="A3:A6"/>
    <mergeCell ref="A25:B25"/>
    <mergeCell ref="A36:B36"/>
  </mergeCells>
  <pageMargins left="0.7" right="0.7" top="0.78749999999999998" bottom="0.78749999999999998" header="0.511811023622047" footer="0.511811023622047"/>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4"/>
  <sheetViews>
    <sheetView zoomScale="120" zoomScaleNormal="120" workbookViewId="0">
      <selection activeCell="C12" sqref="C12"/>
    </sheetView>
  </sheetViews>
  <sheetFormatPr baseColWidth="10" defaultColWidth="10.5" defaultRowHeight="15" x14ac:dyDescent="0.2"/>
  <cols>
    <col min="1" max="1" width="20.1640625" customWidth="1"/>
    <col min="2" max="2" width="13.33203125" customWidth="1"/>
    <col min="3" max="4" width="8.6640625" customWidth="1"/>
    <col min="5" max="5" width="12.33203125" customWidth="1"/>
    <col min="6" max="6" width="29.1640625" customWidth="1"/>
    <col min="16384" max="16384" width="11.5" customWidth="1"/>
  </cols>
  <sheetData>
    <row r="1" spans="1:6" x14ac:dyDescent="0.2">
      <c r="A1" s="9"/>
      <c r="B1" s="10" t="s">
        <v>18</v>
      </c>
      <c r="C1" s="10" t="s">
        <v>47</v>
      </c>
      <c r="D1" s="10" t="s">
        <v>50</v>
      </c>
      <c r="E1" s="10" t="s">
        <v>42</v>
      </c>
      <c r="F1" s="10" t="s">
        <v>19</v>
      </c>
    </row>
    <row r="2" spans="1:6" x14ac:dyDescent="0.2">
      <c r="A2" s="11"/>
      <c r="B2" s="12" t="s">
        <v>74</v>
      </c>
      <c r="C2" s="12" t="s">
        <v>75</v>
      </c>
      <c r="D2" s="12" t="s">
        <v>76</v>
      </c>
      <c r="E2" s="12"/>
      <c r="F2" s="13"/>
    </row>
    <row r="3" spans="1:6" ht="16" x14ac:dyDescent="0.2">
      <c r="A3" s="218" t="s">
        <v>21</v>
      </c>
      <c r="B3" s="14">
        <f>Regelsätze!C3</f>
        <v>563</v>
      </c>
      <c r="C3" s="59">
        <f>Regelsätze!C7</f>
        <v>390</v>
      </c>
      <c r="D3" s="59">
        <f>Regelsätze!C7</f>
        <v>390</v>
      </c>
      <c r="E3" s="44"/>
      <c r="F3" s="15" t="s">
        <v>22</v>
      </c>
    </row>
    <row r="4" spans="1:6" ht="16" x14ac:dyDescent="0.2">
      <c r="A4" s="218"/>
      <c r="B4" s="14"/>
      <c r="C4" s="59">
        <v>20</v>
      </c>
      <c r="D4" s="59">
        <v>20</v>
      </c>
      <c r="E4" s="44"/>
      <c r="F4" s="15" t="s">
        <v>46</v>
      </c>
    </row>
    <row r="5" spans="1:6" ht="16" x14ac:dyDescent="0.2">
      <c r="A5" s="218"/>
      <c r="B5" s="16">
        <f>B3*0.36</f>
        <v>202.67999999999998</v>
      </c>
      <c r="C5" s="60">
        <v>0</v>
      </c>
      <c r="D5" s="60">
        <v>0</v>
      </c>
      <c r="E5" s="45"/>
      <c r="F5" s="17" t="s">
        <v>116</v>
      </c>
    </row>
    <row r="6" spans="1:6" ht="16" x14ac:dyDescent="0.2">
      <c r="A6" s="218"/>
      <c r="B6" s="30">
        <f>968/2/3</f>
        <v>161.33333333333334</v>
      </c>
      <c r="C6" s="88">
        <f>B6</f>
        <v>161.33333333333334</v>
      </c>
      <c r="D6" s="88">
        <f>B6</f>
        <v>161.33333333333334</v>
      </c>
      <c r="E6" s="46"/>
      <c r="F6" s="17" t="s">
        <v>24</v>
      </c>
    </row>
    <row r="7" spans="1:6" ht="16" x14ac:dyDescent="0.2">
      <c r="A7" s="218"/>
      <c r="B7" s="19">
        <f>SUM(B3:B6)</f>
        <v>927.01333333333332</v>
      </c>
      <c r="C7" s="62">
        <f>SUM(C3:C6)</f>
        <v>571.33333333333337</v>
      </c>
      <c r="D7" s="62">
        <f>SUM(D3:D6)</f>
        <v>571.33333333333337</v>
      </c>
      <c r="E7" s="47">
        <f>SUM(B7:D7)</f>
        <v>2069.6800000000003</v>
      </c>
      <c r="F7" s="17" t="s">
        <v>25</v>
      </c>
    </row>
    <row r="8" spans="1:6" ht="32" hidden="1" x14ac:dyDescent="0.2">
      <c r="A8" s="20" t="s">
        <v>26</v>
      </c>
      <c r="B8" s="21">
        <v>0</v>
      </c>
      <c r="C8" s="21">
        <v>0</v>
      </c>
      <c r="D8" s="21">
        <v>0</v>
      </c>
      <c r="E8" s="48"/>
      <c r="F8" s="22"/>
    </row>
    <row r="9" spans="1:6" ht="16" x14ac:dyDescent="0.2">
      <c r="A9" s="23" t="s">
        <v>115</v>
      </c>
      <c r="B9" s="21"/>
      <c r="C9" s="21"/>
      <c r="D9" s="21"/>
      <c r="E9" s="48"/>
      <c r="F9" s="22"/>
    </row>
    <row r="10" spans="1:6" ht="16" x14ac:dyDescent="0.2">
      <c r="A10" s="23" t="s">
        <v>27</v>
      </c>
      <c r="B10" s="24">
        <v>0</v>
      </c>
      <c r="C10" s="24">
        <f>Regelsätze!B11</f>
        <v>255</v>
      </c>
      <c r="D10" s="24">
        <f>C10</f>
        <v>255</v>
      </c>
      <c r="E10" s="24"/>
      <c r="F10" s="22"/>
    </row>
    <row r="11" spans="1:6" ht="16" x14ac:dyDescent="0.2">
      <c r="A11" s="25" t="s">
        <v>28</v>
      </c>
      <c r="B11" s="26">
        <f>B3+B5+B6-B8-B10</f>
        <v>927.01333333333332</v>
      </c>
      <c r="C11" s="26">
        <f>C7-C9-C10</f>
        <v>316.33333333333337</v>
      </c>
      <c r="D11" s="26">
        <f>D7-D9-D10</f>
        <v>316.33333333333337</v>
      </c>
      <c r="E11" s="49">
        <f>SUM(B11:D11)</f>
        <v>1559.6800000000003</v>
      </c>
      <c r="F11" s="27"/>
    </row>
    <row r="12" spans="1:6" ht="15" customHeight="1" x14ac:dyDescent="0.2">
      <c r="A12" s="25" t="s">
        <v>44</v>
      </c>
      <c r="B12" s="48">
        <f>B11/E11</f>
        <v>0.59436123649295569</v>
      </c>
      <c r="C12" s="180">
        <f>C11/E11</f>
        <v>0.20281938175352207</v>
      </c>
      <c r="D12" s="48">
        <f>D11/E11</f>
        <v>0.20281938175352207</v>
      </c>
      <c r="E12" s="50">
        <f>SUM(B12:D12)</f>
        <v>0.99999999999999989</v>
      </c>
      <c r="F12" s="22"/>
    </row>
    <row r="13" spans="1:6" ht="16" x14ac:dyDescent="0.2">
      <c r="A13" s="28" t="s">
        <v>29</v>
      </c>
      <c r="B13" s="18">
        <v>317</v>
      </c>
      <c r="C13" s="89">
        <v>0</v>
      </c>
      <c r="D13" s="89">
        <v>0</v>
      </c>
      <c r="E13" s="90"/>
      <c r="F13" s="17" t="s">
        <v>30</v>
      </c>
    </row>
    <row r="14" spans="1:6" ht="16" x14ac:dyDescent="0.2">
      <c r="A14" s="29"/>
      <c r="B14" s="30">
        <v>0</v>
      </c>
      <c r="C14" s="61">
        <v>0</v>
      </c>
      <c r="D14" s="61">
        <v>0</v>
      </c>
      <c r="E14" s="30"/>
      <c r="F14" s="17" t="s">
        <v>31</v>
      </c>
    </row>
    <row r="15" spans="1:6" ht="16" x14ac:dyDescent="0.2">
      <c r="A15" s="31"/>
      <c r="B15" s="30">
        <v>0</v>
      </c>
      <c r="C15" s="61">
        <v>0</v>
      </c>
      <c r="D15" s="61">
        <v>0</v>
      </c>
      <c r="E15" s="30"/>
      <c r="F15" s="17" t="s">
        <v>32</v>
      </c>
    </row>
    <row r="16" spans="1:6" ht="32" x14ac:dyDescent="0.2">
      <c r="A16" s="31"/>
      <c r="B16" s="30"/>
      <c r="C16" s="91">
        <v>0</v>
      </c>
      <c r="D16" s="91">
        <v>0</v>
      </c>
      <c r="E16" s="92"/>
      <c r="F16" s="17" t="s">
        <v>33</v>
      </c>
    </row>
    <row r="17" spans="1:6" ht="16" x14ac:dyDescent="0.2">
      <c r="A17" s="31"/>
      <c r="B17" s="30">
        <v>100</v>
      </c>
      <c r="C17" s="61">
        <v>0</v>
      </c>
      <c r="D17" s="61">
        <v>0</v>
      </c>
      <c r="E17" s="30"/>
      <c r="F17" s="17" t="s">
        <v>34</v>
      </c>
    </row>
    <row r="18" spans="1:6" ht="16" x14ac:dyDescent="0.2">
      <c r="A18" s="31"/>
      <c r="B18" s="30">
        <f>(B13-100)*0.2</f>
        <v>43.400000000000006</v>
      </c>
      <c r="C18" s="61">
        <v>0</v>
      </c>
      <c r="D18" s="61">
        <v>0</v>
      </c>
      <c r="E18" s="30"/>
      <c r="F18" s="17" t="s">
        <v>35</v>
      </c>
    </row>
    <row r="19" spans="1:6" ht="16" x14ac:dyDescent="0.2">
      <c r="A19" s="31"/>
      <c r="B19" s="32">
        <f>B13-B17-B18</f>
        <v>173.6</v>
      </c>
      <c r="C19" s="32">
        <f>(C14-C17-C18)+C15-C16</f>
        <v>0</v>
      </c>
      <c r="D19" s="32">
        <f>(D14-D17-D18)+D15-D16</f>
        <v>0</v>
      </c>
      <c r="E19" s="32">
        <f>SUM(B19:D19)</f>
        <v>173.6</v>
      </c>
      <c r="F19" s="33" t="s">
        <v>25</v>
      </c>
    </row>
    <row r="20" spans="1:6" ht="16" x14ac:dyDescent="0.2">
      <c r="A20" s="34" t="s">
        <v>36</v>
      </c>
      <c r="B20" s="24">
        <f>E19*B12</f>
        <v>103.18111065517711</v>
      </c>
      <c r="C20" s="145">
        <f>E19*C12</f>
        <v>35.209444672411429</v>
      </c>
      <c r="D20" s="24">
        <f>E19*D12</f>
        <v>35.209444672411429</v>
      </c>
      <c r="E20" s="24">
        <f>SUM(B20:D20)</f>
        <v>173.59999999999997</v>
      </c>
      <c r="F20" s="22"/>
    </row>
    <row r="21" spans="1:6" ht="32" hidden="1" x14ac:dyDescent="0.2">
      <c r="A21" s="34" t="s">
        <v>49</v>
      </c>
      <c r="B21" s="35">
        <f>B11-B20</f>
        <v>823.8322226781562</v>
      </c>
      <c r="C21" s="35">
        <f>C11-C20</f>
        <v>281.12388866092192</v>
      </c>
      <c r="D21" s="35">
        <f>D11-D20</f>
        <v>281.12388866092192</v>
      </c>
      <c r="E21" s="24"/>
      <c r="F21" s="22"/>
    </row>
    <row r="22" spans="1:6" ht="32" hidden="1" x14ac:dyDescent="0.2">
      <c r="A22" s="36" t="s">
        <v>39</v>
      </c>
      <c r="B22" s="22">
        <v>0</v>
      </c>
      <c r="C22" s="22">
        <v>0</v>
      </c>
      <c r="D22" s="22">
        <v>0</v>
      </c>
      <c r="E22" s="24"/>
      <c r="F22" s="22"/>
    </row>
    <row r="23" spans="1:6" x14ac:dyDescent="0.2">
      <c r="A23" s="37" t="s">
        <v>40</v>
      </c>
      <c r="B23" s="93">
        <f>B21-B22</f>
        <v>823.8322226781562</v>
      </c>
      <c r="C23" s="93">
        <f>C21-C22</f>
        <v>281.12388866092192</v>
      </c>
      <c r="D23" s="93">
        <f>D21-D22</f>
        <v>281.12388866092192</v>
      </c>
      <c r="E23" s="54"/>
      <c r="F23" s="54"/>
    </row>
    <row r="29" spans="1:6" x14ac:dyDescent="0.2">
      <c r="A29" s="94"/>
    </row>
    <row r="30" spans="1:6" x14ac:dyDescent="0.2">
      <c r="A30" s="95"/>
    </row>
    <row r="31" spans="1:6" x14ac:dyDescent="0.2">
      <c r="A31" s="95"/>
    </row>
    <row r="32" spans="1:6" x14ac:dyDescent="0.2">
      <c r="A32" s="95"/>
    </row>
    <row r="33" spans="1:1" x14ac:dyDescent="0.2">
      <c r="A33" s="95"/>
    </row>
    <row r="34" spans="1:1" x14ac:dyDescent="0.2">
      <c r="A34" s="95"/>
    </row>
  </sheetData>
  <autoFilter ref="B6:B23" xr:uid="{00000000-0009-0000-0000-000009000000}"/>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2"/>
  <sheetViews>
    <sheetView zoomScale="150" zoomScaleNormal="150" workbookViewId="0">
      <selection activeCell="C3" sqref="C3"/>
    </sheetView>
  </sheetViews>
  <sheetFormatPr baseColWidth="10" defaultColWidth="10.5" defaultRowHeight="15" x14ac:dyDescent="0.2"/>
  <cols>
    <col min="1" max="1" width="23.5" customWidth="1"/>
    <col min="2" max="2" width="10.83203125" customWidth="1"/>
    <col min="5" max="5" width="27" customWidth="1"/>
  </cols>
  <sheetData>
    <row r="1" spans="1:5" x14ac:dyDescent="0.2">
      <c r="A1" s="9"/>
      <c r="B1" s="10" t="s">
        <v>18</v>
      </c>
      <c r="C1" s="10" t="s">
        <v>41</v>
      </c>
      <c r="D1" s="10" t="s">
        <v>42</v>
      </c>
      <c r="E1" s="10" t="s">
        <v>19</v>
      </c>
    </row>
    <row r="2" spans="1:5" x14ac:dyDescent="0.2">
      <c r="A2" s="11"/>
      <c r="B2" s="12" t="s">
        <v>20</v>
      </c>
      <c r="C2" s="12" t="s">
        <v>43</v>
      </c>
      <c r="D2" s="12"/>
      <c r="E2" s="13"/>
    </row>
    <row r="3" spans="1:5" ht="16" x14ac:dyDescent="0.2">
      <c r="A3" s="218" t="s">
        <v>21</v>
      </c>
      <c r="B3" s="14">
        <f>Regelsätze!C4</f>
        <v>506</v>
      </c>
      <c r="C3" s="14">
        <f>Regelsätze!C4</f>
        <v>506</v>
      </c>
      <c r="D3" s="44"/>
      <c r="E3" s="15" t="s">
        <v>22</v>
      </c>
    </row>
    <row r="4" spans="1:5" ht="16" x14ac:dyDescent="0.2">
      <c r="A4" s="218"/>
      <c r="B4" s="16">
        <v>0</v>
      </c>
      <c r="C4" s="16">
        <v>0</v>
      </c>
      <c r="D4" s="45"/>
      <c r="E4" s="17" t="s">
        <v>23</v>
      </c>
    </row>
    <row r="5" spans="1:5" ht="16" x14ac:dyDescent="0.2">
      <c r="A5" s="218"/>
      <c r="B5" s="18">
        <v>350</v>
      </c>
      <c r="C5" s="30">
        <f>B5</f>
        <v>350</v>
      </c>
      <c r="D5" s="46"/>
      <c r="E5" s="17" t="s">
        <v>24</v>
      </c>
    </row>
    <row r="6" spans="1:5" ht="16" x14ac:dyDescent="0.2">
      <c r="A6" s="218"/>
      <c r="B6" s="19">
        <f>SUM(B3:B5)</f>
        <v>856</v>
      </c>
      <c r="C6" s="19">
        <f>SUM(C3:C5)</f>
        <v>856</v>
      </c>
      <c r="D6" s="47">
        <f>SUM(B6:C6)</f>
        <v>1712</v>
      </c>
      <c r="E6" s="17" t="s">
        <v>25</v>
      </c>
    </row>
    <row r="7" spans="1:5" ht="16" x14ac:dyDescent="0.2">
      <c r="A7" s="20" t="s">
        <v>26</v>
      </c>
      <c r="B7" s="21">
        <v>0</v>
      </c>
      <c r="C7" s="21">
        <v>0</v>
      </c>
      <c r="D7" s="48"/>
      <c r="E7" s="22"/>
    </row>
    <row r="8" spans="1:5" ht="16" x14ac:dyDescent="0.2">
      <c r="A8" s="23" t="s">
        <v>27</v>
      </c>
      <c r="B8" s="24">
        <v>0</v>
      </c>
      <c r="C8" s="24">
        <v>0</v>
      </c>
      <c r="D8" s="24">
        <f>SUM(B8:C8)</f>
        <v>0</v>
      </c>
      <c r="E8" s="22"/>
    </row>
    <row r="9" spans="1:5" ht="16" x14ac:dyDescent="0.2">
      <c r="A9" s="25" t="s">
        <v>28</v>
      </c>
      <c r="B9" s="136">
        <f>B3+B4+B5-B7-B8</f>
        <v>856</v>
      </c>
      <c r="C9" s="26">
        <f>C3+C4+C5-C7-C8</f>
        <v>856</v>
      </c>
      <c r="D9" s="49">
        <f>SUM(B9:C9)</f>
        <v>1712</v>
      </c>
      <c r="E9" s="27"/>
    </row>
    <row r="10" spans="1:5" ht="16" x14ac:dyDescent="0.2">
      <c r="A10" s="25" t="s">
        <v>44</v>
      </c>
      <c r="B10" s="48">
        <f>B9/D9</f>
        <v>0.5</v>
      </c>
      <c r="C10" s="48">
        <f>C9/D9</f>
        <v>0.5</v>
      </c>
      <c r="D10" s="50">
        <f>SUM(B10:C10)</f>
        <v>1</v>
      </c>
      <c r="E10" s="22"/>
    </row>
    <row r="11" spans="1:5" ht="37.5" customHeight="1" x14ac:dyDescent="0.2">
      <c r="A11" s="2" t="s">
        <v>29</v>
      </c>
      <c r="B11" s="51">
        <v>240</v>
      </c>
      <c r="C11" s="51"/>
      <c r="D11" s="52"/>
      <c r="E11" s="53" t="s">
        <v>30</v>
      </c>
    </row>
    <row r="12" spans="1:5" ht="28.5" customHeight="1" x14ac:dyDescent="0.2">
      <c r="A12" s="54"/>
      <c r="B12" s="55">
        <v>240</v>
      </c>
      <c r="C12" s="55"/>
      <c r="D12" s="55"/>
      <c r="E12" s="53" t="s">
        <v>31</v>
      </c>
    </row>
    <row r="13" spans="1:5" ht="16" x14ac:dyDescent="0.2">
      <c r="A13" s="2"/>
      <c r="B13" s="55">
        <v>0</v>
      </c>
      <c r="C13" s="55"/>
      <c r="D13" s="55"/>
      <c r="E13" s="53" t="s">
        <v>32</v>
      </c>
    </row>
    <row r="14" spans="1:5" ht="34.5" customHeight="1" x14ac:dyDescent="0.2">
      <c r="A14" s="2"/>
      <c r="B14" s="55">
        <v>0</v>
      </c>
      <c r="C14" s="55"/>
      <c r="D14" s="56"/>
      <c r="E14" s="53" t="s">
        <v>33</v>
      </c>
    </row>
    <row r="15" spans="1:5" ht="33" customHeight="1" x14ac:dyDescent="0.2">
      <c r="A15" s="2"/>
      <c r="B15" s="55">
        <v>100</v>
      </c>
      <c r="C15" s="55"/>
      <c r="D15" s="55"/>
      <c r="E15" s="53" t="s">
        <v>34</v>
      </c>
    </row>
    <row r="16" spans="1:5" ht="33" customHeight="1" x14ac:dyDescent="0.2">
      <c r="A16" s="2"/>
      <c r="B16" s="55">
        <f>(B12-B15)*0.2</f>
        <v>28</v>
      </c>
      <c r="C16" s="55"/>
      <c r="D16" s="55"/>
      <c r="E16" s="53" t="s">
        <v>35</v>
      </c>
    </row>
    <row r="17" spans="1:5" ht="16" x14ac:dyDescent="0.2">
      <c r="A17" s="2"/>
      <c r="B17" s="55">
        <f>(B12-B15-B16)+B13-B14</f>
        <v>112</v>
      </c>
      <c r="C17" s="55">
        <f>(C12-C15-C16)+C13-C14</f>
        <v>0</v>
      </c>
      <c r="D17" s="55">
        <f>SUM(B17:C17)</f>
        <v>112</v>
      </c>
      <c r="E17" s="53" t="s">
        <v>25</v>
      </c>
    </row>
    <row r="18" spans="1:5" ht="16" x14ac:dyDescent="0.2">
      <c r="A18" s="34" t="s">
        <v>36</v>
      </c>
      <c r="B18" s="137">
        <f>D17*B10</f>
        <v>56</v>
      </c>
      <c r="C18" s="24">
        <f>D17*C10</f>
        <v>56</v>
      </c>
      <c r="D18" s="24">
        <f>B18+C18</f>
        <v>112</v>
      </c>
      <c r="E18" s="22"/>
    </row>
    <row r="19" spans="1:5" ht="30" customHeight="1" x14ac:dyDescent="0.2">
      <c r="A19" s="34" t="s">
        <v>37</v>
      </c>
      <c r="B19" s="129">
        <f>B9-B18</f>
        <v>800</v>
      </c>
      <c r="C19" s="35">
        <f>C9-C18</f>
        <v>800</v>
      </c>
      <c r="D19" s="24"/>
      <c r="E19" s="22" t="s">
        <v>38</v>
      </c>
    </row>
    <row r="20" spans="1:5" ht="28.5" customHeight="1" x14ac:dyDescent="0.2">
      <c r="A20" s="36" t="s">
        <v>39</v>
      </c>
      <c r="B20" s="22">
        <v>0</v>
      </c>
      <c r="C20" s="22">
        <v>0</v>
      </c>
      <c r="D20" s="24"/>
      <c r="E20" s="22"/>
    </row>
    <row r="21" spans="1:5" x14ac:dyDescent="0.2">
      <c r="A21" s="37" t="s">
        <v>40</v>
      </c>
      <c r="B21" s="24">
        <f>B19-B20</f>
        <v>800</v>
      </c>
      <c r="C21" s="24">
        <f>C19-C20</f>
        <v>800</v>
      </c>
      <c r="D21" s="12"/>
      <c r="E21" s="12"/>
    </row>
    <row r="22" spans="1:5" x14ac:dyDescent="0.2">
      <c r="A22" s="40"/>
      <c r="B22" s="3"/>
      <c r="C22" s="3"/>
    </row>
    <row r="23" spans="1:5" x14ac:dyDescent="0.2">
      <c r="A23" s="4"/>
      <c r="B23" s="4"/>
      <c r="C23" s="4"/>
    </row>
    <row r="24" spans="1:5" x14ac:dyDescent="0.2">
      <c r="A24" s="4"/>
      <c r="B24" s="4"/>
      <c r="C24" s="4"/>
    </row>
    <row r="25" spans="1:5" x14ac:dyDescent="0.2">
      <c r="A25" s="57"/>
      <c r="B25" s="4"/>
      <c r="C25" s="4"/>
    </row>
    <row r="26" spans="1:5" x14ac:dyDescent="0.2">
      <c r="A26" s="4"/>
      <c r="B26" s="4"/>
      <c r="C26" s="4"/>
    </row>
    <row r="27" spans="1:5" x14ac:dyDescent="0.2">
      <c r="A27" s="40"/>
      <c r="B27" s="3"/>
      <c r="C27" s="3"/>
    </row>
    <row r="28" spans="1:5" x14ac:dyDescent="0.2">
      <c r="A28" s="216"/>
      <c r="B28" s="216"/>
      <c r="C28" s="4"/>
    </row>
    <row r="29" spans="1:5" x14ac:dyDescent="0.2">
      <c r="A29" s="4"/>
      <c r="B29" s="4"/>
      <c r="C29" s="4"/>
    </row>
    <row r="30" spans="1:5" x14ac:dyDescent="0.2">
      <c r="A30" s="4"/>
      <c r="B30" s="4"/>
      <c r="C30" s="4"/>
    </row>
    <row r="31" spans="1:5" x14ac:dyDescent="0.2">
      <c r="A31" s="3"/>
      <c r="B31" s="3"/>
      <c r="C31" s="3"/>
    </row>
    <row r="32" spans="1:5" x14ac:dyDescent="0.2">
      <c r="B32" s="4"/>
      <c r="C32" s="4"/>
    </row>
    <row r="33" spans="1:3" x14ac:dyDescent="0.2">
      <c r="A33" s="3"/>
      <c r="B33" s="3"/>
      <c r="C33" s="3"/>
    </row>
    <row r="34" spans="1:3" x14ac:dyDescent="0.2">
      <c r="A34" s="3"/>
      <c r="B34" s="3"/>
      <c r="C34" s="3"/>
    </row>
    <row r="35" spans="1:3" x14ac:dyDescent="0.2">
      <c r="A35" s="3"/>
      <c r="B35" s="3"/>
      <c r="C35" s="3"/>
    </row>
    <row r="36" spans="1:3" x14ac:dyDescent="0.2">
      <c r="A36" s="3"/>
      <c r="B36" s="3"/>
      <c r="C36" s="3"/>
    </row>
    <row r="37" spans="1:3" x14ac:dyDescent="0.2">
      <c r="A37" s="3"/>
      <c r="B37" s="4"/>
      <c r="C37" s="4"/>
    </row>
    <row r="38" spans="1:3" x14ac:dyDescent="0.2">
      <c r="A38" s="4"/>
      <c r="B38" s="4"/>
      <c r="C38" s="4"/>
    </row>
    <row r="39" spans="1:3" x14ac:dyDescent="0.2">
      <c r="A39" s="217"/>
      <c r="B39" s="217"/>
      <c r="C39" s="3"/>
    </row>
    <row r="40" spans="1:3" x14ac:dyDescent="0.2">
      <c r="A40" s="41"/>
      <c r="B40" s="41"/>
      <c r="C40" s="41"/>
    </row>
    <row r="41" spans="1:3" x14ac:dyDescent="0.2">
      <c r="A41" s="42"/>
      <c r="B41" s="42"/>
      <c r="C41" s="42"/>
    </row>
    <row r="42" spans="1:3" x14ac:dyDescent="0.2">
      <c r="A42" s="42"/>
      <c r="B42" s="42"/>
      <c r="C42" s="42"/>
    </row>
    <row r="43" spans="1:3" x14ac:dyDescent="0.2">
      <c r="A43" s="42"/>
      <c r="B43" s="42"/>
      <c r="C43" s="42"/>
    </row>
    <row r="44" spans="1:3" x14ac:dyDescent="0.2">
      <c r="A44" s="43"/>
      <c r="B44" s="43"/>
      <c r="C44" s="43"/>
    </row>
    <row r="45" spans="1:3" x14ac:dyDescent="0.2">
      <c r="A45" s="4"/>
      <c r="B45" s="4"/>
      <c r="C45" s="4"/>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sheetData>
  <mergeCells count="3">
    <mergeCell ref="A3:A6"/>
    <mergeCell ref="A28:B28"/>
    <mergeCell ref="A39:B39"/>
  </mergeCells>
  <pageMargins left="0.7" right="0.7"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zoomScale="150" zoomScaleNormal="150" workbookViewId="0">
      <selection activeCell="C10" sqref="C10"/>
    </sheetView>
  </sheetViews>
  <sheetFormatPr baseColWidth="10" defaultColWidth="10.5" defaultRowHeight="15" x14ac:dyDescent="0.2"/>
  <cols>
    <col min="1" max="1" width="20.5" customWidth="1"/>
    <col min="3" max="3" width="13.33203125" customWidth="1"/>
    <col min="4" max="4" width="10.83203125" customWidth="1"/>
    <col min="5" max="5" width="30.1640625" customWidth="1"/>
  </cols>
  <sheetData>
    <row r="1" spans="1:5" x14ac:dyDescent="0.2">
      <c r="A1" s="9"/>
      <c r="B1" s="10" t="s">
        <v>18</v>
      </c>
      <c r="C1" s="10" t="s">
        <v>41</v>
      </c>
      <c r="D1" s="10" t="s">
        <v>42</v>
      </c>
      <c r="E1" s="10" t="s">
        <v>19</v>
      </c>
    </row>
    <row r="2" spans="1:5" x14ac:dyDescent="0.2">
      <c r="A2" s="11"/>
      <c r="B2" s="12" t="s">
        <v>20</v>
      </c>
      <c r="C2" s="12" t="s">
        <v>43</v>
      </c>
      <c r="D2" s="12"/>
      <c r="E2" s="13"/>
    </row>
    <row r="3" spans="1:5" ht="16" x14ac:dyDescent="0.2">
      <c r="A3" s="218" t="s">
        <v>21</v>
      </c>
      <c r="B3" s="157">
        <f>Regelsätze!C4</f>
        <v>506</v>
      </c>
      <c r="C3" s="157">
        <f>Regelsätze!C4</f>
        <v>506</v>
      </c>
      <c r="D3" s="166"/>
      <c r="E3" s="15" t="s">
        <v>22</v>
      </c>
    </row>
    <row r="4" spans="1:5" ht="16" x14ac:dyDescent="0.2">
      <c r="A4" s="218"/>
      <c r="B4" s="158">
        <v>0</v>
      </c>
      <c r="C4" s="158">
        <v>0</v>
      </c>
      <c r="D4" s="167"/>
      <c r="E4" s="17" t="s">
        <v>23</v>
      </c>
    </row>
    <row r="5" spans="1:5" ht="16" x14ac:dyDescent="0.2">
      <c r="A5" s="218"/>
      <c r="B5" s="159">
        <v>350</v>
      </c>
      <c r="C5" s="165">
        <f>B5</f>
        <v>350</v>
      </c>
      <c r="D5" s="168"/>
      <c r="E5" s="17" t="s">
        <v>24</v>
      </c>
    </row>
    <row r="6" spans="1:5" ht="16" x14ac:dyDescent="0.2">
      <c r="A6" s="218"/>
      <c r="B6" s="160">
        <f>SUM(B3:B5)</f>
        <v>856</v>
      </c>
      <c r="C6" s="160">
        <f>SUM(C3:C5)</f>
        <v>856</v>
      </c>
      <c r="D6" s="169">
        <f>SUM(B6:C6)</f>
        <v>1712</v>
      </c>
      <c r="E6" s="17" t="s">
        <v>25</v>
      </c>
    </row>
    <row r="7" spans="1:5" ht="32" x14ac:dyDescent="0.2">
      <c r="A7" s="20" t="s">
        <v>26</v>
      </c>
      <c r="B7" s="161">
        <v>0</v>
      </c>
      <c r="C7" s="161">
        <v>0</v>
      </c>
      <c r="D7" s="162"/>
      <c r="E7" s="22"/>
    </row>
    <row r="8" spans="1:5" ht="16" x14ac:dyDescent="0.2">
      <c r="A8" s="23" t="s">
        <v>27</v>
      </c>
      <c r="B8" s="137">
        <v>0</v>
      </c>
      <c r="C8" s="137">
        <v>0</v>
      </c>
      <c r="D8" s="137">
        <f>SUM(B8:C8)</f>
        <v>0</v>
      </c>
      <c r="E8" s="22"/>
    </row>
    <row r="9" spans="1:5" ht="16" x14ac:dyDescent="0.2">
      <c r="A9" s="25" t="s">
        <v>28</v>
      </c>
      <c r="B9" s="177">
        <f>B3+B4+B5-B7-B8</f>
        <v>856</v>
      </c>
      <c r="C9" s="177">
        <f>C3+C4+C5-C7-C8</f>
        <v>856</v>
      </c>
      <c r="D9" s="170">
        <f>SUM(B9:C9)</f>
        <v>1712</v>
      </c>
      <c r="E9" s="27"/>
    </row>
    <row r="10" spans="1:5" ht="16" x14ac:dyDescent="0.2">
      <c r="A10" s="25" t="s">
        <v>44</v>
      </c>
      <c r="B10" s="162">
        <f>B9/D9</f>
        <v>0.5</v>
      </c>
      <c r="C10" s="162">
        <f>C9/D9</f>
        <v>0.5</v>
      </c>
      <c r="D10" s="171">
        <f>SUM(B10:C10)</f>
        <v>1</v>
      </c>
      <c r="E10" s="22"/>
    </row>
    <row r="11" spans="1:5" ht="33" customHeight="1" x14ac:dyDescent="0.2">
      <c r="A11" s="2" t="s">
        <v>29</v>
      </c>
      <c r="B11" s="163">
        <v>240</v>
      </c>
      <c r="C11" s="172">
        <v>1300</v>
      </c>
      <c r="D11" s="173"/>
      <c r="E11" s="53" t="s">
        <v>30</v>
      </c>
    </row>
    <row r="12" spans="1:5" ht="31.5" customHeight="1" x14ac:dyDescent="0.2">
      <c r="A12" s="54"/>
      <c r="B12" s="164">
        <v>240</v>
      </c>
      <c r="C12" s="174">
        <v>1100</v>
      </c>
      <c r="D12" s="174"/>
      <c r="E12" s="53" t="s">
        <v>31</v>
      </c>
    </row>
    <row r="13" spans="1:5" ht="22.5" customHeight="1" x14ac:dyDescent="0.2">
      <c r="A13" s="2"/>
      <c r="B13" s="164">
        <v>0</v>
      </c>
      <c r="C13" s="174">
        <v>0</v>
      </c>
      <c r="D13" s="174"/>
      <c r="E13" s="53" t="s">
        <v>32</v>
      </c>
    </row>
    <row r="14" spans="1:5" ht="28.5" customHeight="1" x14ac:dyDescent="0.2">
      <c r="A14" s="2"/>
      <c r="B14" s="164">
        <v>0</v>
      </c>
      <c r="C14" s="174">
        <v>0</v>
      </c>
      <c r="D14" s="175"/>
      <c r="E14" s="53" t="s">
        <v>33</v>
      </c>
    </row>
    <row r="15" spans="1:5" ht="25.5" customHeight="1" x14ac:dyDescent="0.2">
      <c r="A15" s="2"/>
      <c r="B15" s="164">
        <v>100</v>
      </c>
      <c r="C15" s="174">
        <v>100</v>
      </c>
      <c r="D15" s="174"/>
      <c r="E15" s="53" t="s">
        <v>34</v>
      </c>
    </row>
    <row r="16" spans="1:5" ht="24" customHeight="1" x14ac:dyDescent="0.2">
      <c r="A16" s="2"/>
      <c r="B16" s="164">
        <f>(B12-B15)*0.2</f>
        <v>28</v>
      </c>
      <c r="C16" s="174">
        <f>420*0.2+480*0.3+200*0.1</f>
        <v>248</v>
      </c>
      <c r="D16" s="174"/>
      <c r="E16" s="53" t="s">
        <v>35</v>
      </c>
    </row>
    <row r="17" spans="1:5" ht="16" x14ac:dyDescent="0.2">
      <c r="A17" s="2"/>
      <c r="B17" s="164">
        <f>(B12-B15-B16)+B13-B14</f>
        <v>112</v>
      </c>
      <c r="C17" s="174">
        <f>(C12-C15-C16)+C13-C14</f>
        <v>752</v>
      </c>
      <c r="D17" s="174">
        <f>SUM(B17:C17)</f>
        <v>864</v>
      </c>
      <c r="E17" s="53" t="s">
        <v>25</v>
      </c>
    </row>
    <row r="18" spans="1:5" ht="16" x14ac:dyDescent="0.2">
      <c r="A18" s="34" t="s">
        <v>36</v>
      </c>
      <c r="B18" s="178">
        <f>D17*B10</f>
        <v>432</v>
      </c>
      <c r="C18" s="178">
        <f>D17*C10</f>
        <v>432</v>
      </c>
      <c r="D18" s="176">
        <f>B18+C18</f>
        <v>864</v>
      </c>
      <c r="E18" s="22"/>
    </row>
    <row r="19" spans="1:5" ht="32" x14ac:dyDescent="0.2">
      <c r="A19" s="34" t="s">
        <v>37</v>
      </c>
      <c r="B19" s="179">
        <f>B9-B18</f>
        <v>424</v>
      </c>
      <c r="C19" s="179">
        <f>C9-C18</f>
        <v>424</v>
      </c>
      <c r="D19" s="176"/>
      <c r="E19" s="22" t="s">
        <v>38</v>
      </c>
    </row>
    <row r="20" spans="1:5" ht="32" x14ac:dyDescent="0.2">
      <c r="A20" s="36" t="s">
        <v>39</v>
      </c>
      <c r="B20" s="22">
        <v>0</v>
      </c>
      <c r="C20" s="22">
        <v>0</v>
      </c>
      <c r="D20" s="24"/>
      <c r="E20" s="22"/>
    </row>
    <row r="21" spans="1:5" x14ac:dyDescent="0.2">
      <c r="A21" s="37" t="s">
        <v>40</v>
      </c>
      <c r="B21" s="24">
        <f>B19-B20</f>
        <v>424</v>
      </c>
      <c r="C21" s="24">
        <f>C19-C20</f>
        <v>424</v>
      </c>
      <c r="D21" s="12"/>
      <c r="E21" s="12"/>
    </row>
    <row r="22" spans="1:5" x14ac:dyDescent="0.2">
      <c r="A22" s="40"/>
      <c r="B22" s="3"/>
      <c r="C22" s="3"/>
    </row>
    <row r="23" spans="1:5" x14ac:dyDescent="0.2">
      <c r="A23" s="4"/>
      <c r="B23" s="4"/>
      <c r="C23" s="4"/>
    </row>
    <row r="24" spans="1:5" x14ac:dyDescent="0.2">
      <c r="A24" s="4"/>
      <c r="B24" s="4"/>
      <c r="C24" s="4"/>
    </row>
    <row r="25" spans="1:5" x14ac:dyDescent="0.2">
      <c r="A25" s="38"/>
      <c r="B25" s="39"/>
      <c r="C25" s="58"/>
    </row>
    <row r="26" spans="1:5" x14ac:dyDescent="0.2">
      <c r="A26" s="4"/>
      <c r="B26" s="4"/>
      <c r="C26" s="4"/>
    </row>
    <row r="27" spans="1:5" x14ac:dyDescent="0.2">
      <c r="A27" s="40"/>
      <c r="B27" s="3"/>
      <c r="C27" s="3"/>
    </row>
    <row r="28" spans="1:5" x14ac:dyDescent="0.2">
      <c r="A28" s="216"/>
      <c r="B28" s="216"/>
      <c r="C28" s="4"/>
    </row>
    <row r="29" spans="1:5" x14ac:dyDescent="0.2">
      <c r="A29" s="4"/>
      <c r="B29" s="4"/>
      <c r="C29" s="4"/>
    </row>
    <row r="30" spans="1:5" x14ac:dyDescent="0.2">
      <c r="A30" s="4"/>
      <c r="B30" s="4"/>
      <c r="C30" s="4"/>
    </row>
    <row r="31" spans="1:5" x14ac:dyDescent="0.2">
      <c r="A31" s="3"/>
      <c r="B31" s="3"/>
      <c r="C31" s="3"/>
    </row>
    <row r="32" spans="1:5" x14ac:dyDescent="0.2">
      <c r="B32" s="4"/>
      <c r="C32" s="4"/>
    </row>
    <row r="33" spans="1:3" x14ac:dyDescent="0.2">
      <c r="A33" s="3"/>
      <c r="B33" s="3"/>
      <c r="C33" s="3"/>
    </row>
    <row r="34" spans="1:3" x14ac:dyDescent="0.2">
      <c r="A34" s="3"/>
      <c r="B34" s="3"/>
      <c r="C34" s="3"/>
    </row>
    <row r="35" spans="1:3" x14ac:dyDescent="0.2">
      <c r="A35" s="3"/>
      <c r="B35" s="3"/>
      <c r="C35" s="3"/>
    </row>
    <row r="36" spans="1:3" x14ac:dyDescent="0.2">
      <c r="A36" s="3"/>
      <c r="B36" s="3"/>
      <c r="C36" s="3"/>
    </row>
    <row r="37" spans="1:3" x14ac:dyDescent="0.2">
      <c r="A37" s="3"/>
      <c r="B37" s="4"/>
      <c r="C37" s="4"/>
    </row>
    <row r="38" spans="1:3" x14ac:dyDescent="0.2">
      <c r="A38" s="4"/>
      <c r="B38" s="4"/>
      <c r="C38" s="4"/>
    </row>
    <row r="39" spans="1:3" x14ac:dyDescent="0.2">
      <c r="A39" s="217"/>
      <c r="B39" s="217"/>
      <c r="C39" s="3"/>
    </row>
    <row r="40" spans="1:3" x14ac:dyDescent="0.2">
      <c r="A40" s="41"/>
      <c r="B40" s="41"/>
      <c r="C40" s="41"/>
    </row>
    <row r="41" spans="1:3" x14ac:dyDescent="0.2">
      <c r="A41" s="3"/>
      <c r="B41" s="42"/>
      <c r="C41" s="42"/>
    </row>
    <row r="42" spans="1:3" x14ac:dyDescent="0.2">
      <c r="A42" s="3"/>
      <c r="B42" s="42"/>
      <c r="C42" s="42"/>
    </row>
    <row r="43" spans="1:3" x14ac:dyDescent="0.2">
      <c r="A43" s="42"/>
      <c r="B43" s="42"/>
      <c r="C43" s="42"/>
    </row>
    <row r="44" spans="1:3" x14ac:dyDescent="0.2">
      <c r="A44" s="43"/>
      <c r="B44" s="43"/>
      <c r="C44" s="43"/>
    </row>
    <row r="45" spans="1:3" x14ac:dyDescent="0.2">
      <c r="A45" s="4"/>
      <c r="B45" s="4"/>
      <c r="C45" s="4"/>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sheetData>
  <mergeCells count="3">
    <mergeCell ref="A3:A6"/>
    <mergeCell ref="A28:B28"/>
    <mergeCell ref="A39:B39"/>
  </mergeCells>
  <pageMargins left="0.7" right="0.7"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zoomScale="130" zoomScaleNormal="130" workbookViewId="0">
      <selection activeCell="C8" sqref="C8"/>
    </sheetView>
  </sheetViews>
  <sheetFormatPr baseColWidth="10" defaultColWidth="10.5" defaultRowHeight="15" x14ac:dyDescent="0.2"/>
  <cols>
    <col min="1" max="1" width="19.6640625" customWidth="1"/>
    <col min="2" max="2" width="15.6640625" customWidth="1"/>
    <col min="3" max="3" width="11.83203125" customWidth="1"/>
    <col min="5" max="5" width="23.1640625" customWidth="1"/>
  </cols>
  <sheetData>
    <row r="1" spans="1:5" x14ac:dyDescent="0.2">
      <c r="A1" s="9"/>
      <c r="B1" s="10" t="s">
        <v>18</v>
      </c>
      <c r="C1" s="10" t="s">
        <v>41</v>
      </c>
      <c r="D1" s="10" t="s">
        <v>42</v>
      </c>
      <c r="E1" s="10" t="s">
        <v>19</v>
      </c>
    </row>
    <row r="2" spans="1:5" x14ac:dyDescent="0.2">
      <c r="A2" s="11"/>
      <c r="B2" s="12" t="s">
        <v>20</v>
      </c>
      <c r="C2" s="12" t="s">
        <v>45</v>
      </c>
      <c r="D2" s="12"/>
      <c r="E2" s="13"/>
    </row>
    <row r="3" spans="1:5" ht="16" x14ac:dyDescent="0.2">
      <c r="A3" s="219" t="s">
        <v>21</v>
      </c>
      <c r="B3" s="14">
        <f>Regelsätze!C3</f>
        <v>563</v>
      </c>
      <c r="C3" s="14">
        <f>Regelsätze!C8</f>
        <v>357</v>
      </c>
      <c r="D3" s="44"/>
      <c r="E3" s="15" t="s">
        <v>22</v>
      </c>
    </row>
    <row r="4" spans="1:5" ht="16" x14ac:dyDescent="0.2">
      <c r="A4" s="219"/>
      <c r="B4" s="16">
        <f>B3*0.36</f>
        <v>202.67999999999998</v>
      </c>
      <c r="C4" s="16">
        <v>0</v>
      </c>
      <c r="D4" s="45"/>
      <c r="E4" s="17" t="s">
        <v>23</v>
      </c>
    </row>
    <row r="5" spans="1:5" ht="16" x14ac:dyDescent="0.2">
      <c r="A5" s="219"/>
      <c r="B5" s="16"/>
      <c r="C5" s="16">
        <v>20</v>
      </c>
      <c r="D5" s="45"/>
      <c r="E5" s="17" t="s">
        <v>46</v>
      </c>
    </row>
    <row r="6" spans="1:5" ht="16" x14ac:dyDescent="0.2">
      <c r="A6" s="219"/>
      <c r="B6" s="18">
        <v>350</v>
      </c>
      <c r="C6" s="30">
        <f>B6</f>
        <v>350</v>
      </c>
      <c r="D6" s="46"/>
      <c r="E6" s="17" t="s">
        <v>24</v>
      </c>
    </row>
    <row r="7" spans="1:5" ht="16" x14ac:dyDescent="0.2">
      <c r="A7" s="219"/>
      <c r="B7" s="19">
        <f>SUM(B3:B6)</f>
        <v>1115.6799999999998</v>
      </c>
      <c r="C7" s="19">
        <f>SUM(C3:C6)</f>
        <v>727</v>
      </c>
      <c r="D7" s="47">
        <f>SUM(B7:C7)</f>
        <v>1842.6799999999998</v>
      </c>
      <c r="E7" s="17" t="s">
        <v>25</v>
      </c>
    </row>
    <row r="8" spans="1:5" ht="32" x14ac:dyDescent="0.2">
      <c r="A8" s="20" t="s">
        <v>26</v>
      </c>
      <c r="B8" s="21">
        <v>0</v>
      </c>
      <c r="C8" s="21">
        <v>177</v>
      </c>
      <c r="D8" s="48"/>
      <c r="E8" s="22"/>
    </row>
    <row r="9" spans="1:5" ht="32" x14ac:dyDescent="0.2">
      <c r="A9" s="23" t="s">
        <v>27</v>
      </c>
      <c r="B9" s="24">
        <v>0</v>
      </c>
      <c r="C9" s="24">
        <f>Regelsätze!B11</f>
        <v>255</v>
      </c>
      <c r="D9" s="24"/>
      <c r="E9" s="22"/>
    </row>
    <row r="10" spans="1:5" ht="16" x14ac:dyDescent="0.2">
      <c r="A10" s="25" t="s">
        <v>28</v>
      </c>
      <c r="B10" s="136">
        <f>B3+B4+B6-B8-B9</f>
        <v>1115.6799999999998</v>
      </c>
      <c r="C10" s="136">
        <f>C3+C4+C5+C6-C8-C9</f>
        <v>295</v>
      </c>
      <c r="D10" s="49">
        <f>SUM(B10:C10)</f>
        <v>1410.6799999999998</v>
      </c>
      <c r="E10" s="27"/>
    </row>
    <row r="11" spans="1:5" ht="16" x14ac:dyDescent="0.2">
      <c r="A11" s="25" t="s">
        <v>44</v>
      </c>
      <c r="B11" s="48">
        <f>B10/D10</f>
        <v>0.79088099356338781</v>
      </c>
      <c r="C11" s="48">
        <f>C10/D10</f>
        <v>0.20911900643661216</v>
      </c>
      <c r="D11" s="50">
        <f>SUM(B11:C11)</f>
        <v>1</v>
      </c>
      <c r="E11" s="22"/>
    </row>
    <row r="12" spans="1:5" ht="16" x14ac:dyDescent="0.2">
      <c r="A12" s="2" t="s">
        <v>29</v>
      </c>
      <c r="B12" s="51">
        <v>1450</v>
      </c>
      <c r="C12" s="51">
        <v>0</v>
      </c>
      <c r="D12" s="52"/>
      <c r="E12" s="53" t="s">
        <v>30</v>
      </c>
    </row>
    <row r="13" spans="1:5" ht="16" x14ac:dyDescent="0.2">
      <c r="A13" s="54"/>
      <c r="B13" s="55">
        <v>1250</v>
      </c>
      <c r="C13" s="55">
        <v>0</v>
      </c>
      <c r="D13" s="55"/>
      <c r="E13" s="53" t="s">
        <v>31</v>
      </c>
    </row>
    <row r="14" spans="1:5" ht="16" x14ac:dyDescent="0.2">
      <c r="A14" s="2"/>
      <c r="B14" s="55">
        <v>0</v>
      </c>
      <c r="C14" s="55">
        <v>0</v>
      </c>
      <c r="D14" s="55"/>
      <c r="E14" s="53" t="s">
        <v>32</v>
      </c>
    </row>
    <row r="15" spans="1:5" ht="32" x14ac:dyDescent="0.2">
      <c r="A15" s="2"/>
      <c r="B15" s="55">
        <v>0</v>
      </c>
      <c r="C15" s="55">
        <v>0</v>
      </c>
      <c r="D15" s="56"/>
      <c r="E15" s="53" t="s">
        <v>33</v>
      </c>
    </row>
    <row r="16" spans="1:5" ht="16" x14ac:dyDescent="0.2">
      <c r="A16" s="2"/>
      <c r="B16" s="55">
        <v>100</v>
      </c>
      <c r="C16" s="55">
        <v>0</v>
      </c>
      <c r="D16" s="55"/>
      <c r="E16" s="53" t="s">
        <v>34</v>
      </c>
    </row>
    <row r="17" spans="1:5" ht="16" x14ac:dyDescent="0.2">
      <c r="A17" s="2"/>
      <c r="B17" s="55">
        <f>420*0.2+480*0.3+450*0.1</f>
        <v>273</v>
      </c>
      <c r="C17" s="55">
        <v>0</v>
      </c>
      <c r="D17" s="55"/>
      <c r="E17" s="53" t="s">
        <v>35</v>
      </c>
    </row>
    <row r="18" spans="1:5" ht="16" x14ac:dyDescent="0.2">
      <c r="A18" s="2"/>
      <c r="B18" s="55">
        <f>(B13-B16-B17)+B14-B15</f>
        <v>877</v>
      </c>
      <c r="C18" s="55">
        <f>(C13-C16-C17)+C14-C15</f>
        <v>0</v>
      </c>
      <c r="D18" s="55">
        <f>SUM(B18:C18)</f>
        <v>877</v>
      </c>
      <c r="E18" s="53" t="s">
        <v>25</v>
      </c>
    </row>
    <row r="19" spans="1:5" ht="16" x14ac:dyDescent="0.2">
      <c r="A19" s="34" t="s">
        <v>36</v>
      </c>
      <c r="B19" s="137">
        <f>D18*B11</f>
        <v>693.60263135509115</v>
      </c>
      <c r="C19" s="137">
        <f>D18*C11</f>
        <v>183.39736864490885</v>
      </c>
      <c r="D19" s="24">
        <f>B19+C19</f>
        <v>877</v>
      </c>
      <c r="E19" s="22"/>
    </row>
    <row r="20" spans="1:5" ht="32" x14ac:dyDescent="0.2">
      <c r="A20" s="34" t="s">
        <v>37</v>
      </c>
      <c r="B20" s="129">
        <f>B10-B19</f>
        <v>422.07736864490869</v>
      </c>
      <c r="C20" s="129">
        <f>C10-C19</f>
        <v>111.60263135509115</v>
      </c>
      <c r="D20" s="24"/>
      <c r="E20" s="22" t="s">
        <v>38</v>
      </c>
    </row>
    <row r="21" spans="1:5" ht="32" x14ac:dyDescent="0.2">
      <c r="A21" s="36" t="s">
        <v>39</v>
      </c>
      <c r="B21" s="22">
        <v>0</v>
      </c>
      <c r="C21" s="22">
        <v>0</v>
      </c>
      <c r="D21" s="24"/>
      <c r="E21" s="22"/>
    </row>
    <row r="22" spans="1:5" x14ac:dyDescent="0.2">
      <c r="A22" s="37" t="s">
        <v>40</v>
      </c>
      <c r="B22" s="24">
        <f>B20-B21</f>
        <v>422.07736864490869</v>
      </c>
      <c r="C22" s="24">
        <f>C20-C21</f>
        <v>111.60263135509115</v>
      </c>
      <c r="D22" s="12"/>
      <c r="E22" s="12"/>
    </row>
    <row r="23" spans="1:5" x14ac:dyDescent="0.2">
      <c r="A23" s="40"/>
      <c r="B23" s="3"/>
      <c r="C23" s="3"/>
    </row>
    <row r="24" spans="1:5" x14ac:dyDescent="0.2">
      <c r="A24" s="4"/>
      <c r="B24" s="4"/>
      <c r="C24" s="4"/>
    </row>
    <row r="25" spans="1:5" x14ac:dyDescent="0.2">
      <c r="A25" s="4"/>
      <c r="B25" s="4"/>
      <c r="C25" s="4"/>
    </row>
    <row r="26" spans="1:5" x14ac:dyDescent="0.2">
      <c r="A26" s="57"/>
      <c r="B26" s="4"/>
      <c r="C26" s="4"/>
    </row>
    <row r="27" spans="1:5" x14ac:dyDescent="0.2">
      <c r="A27" s="4"/>
      <c r="B27" s="4"/>
      <c r="C27" s="4"/>
    </row>
    <row r="28" spans="1:5" x14ac:dyDescent="0.2">
      <c r="A28" s="40"/>
      <c r="B28" s="3"/>
      <c r="C28" s="3"/>
    </row>
    <row r="29" spans="1:5" x14ac:dyDescent="0.2">
      <c r="A29" s="216"/>
      <c r="B29" s="216"/>
      <c r="C29" s="4"/>
    </row>
    <row r="30" spans="1:5" x14ac:dyDescent="0.2">
      <c r="A30" s="4"/>
      <c r="B30" s="4"/>
      <c r="C30" s="4"/>
    </row>
    <row r="31" spans="1:5" x14ac:dyDescent="0.2">
      <c r="A31" s="4"/>
      <c r="B31" s="4"/>
      <c r="C31" s="4"/>
    </row>
    <row r="32" spans="1:5" x14ac:dyDescent="0.2">
      <c r="A32" s="3"/>
      <c r="B32" s="3"/>
      <c r="C32" s="3"/>
    </row>
    <row r="33" spans="1:3" x14ac:dyDescent="0.2">
      <c r="B33" s="4"/>
      <c r="C33" s="4"/>
    </row>
    <row r="34" spans="1:3" x14ac:dyDescent="0.2">
      <c r="A34" s="3"/>
      <c r="B34" s="3"/>
      <c r="C34" s="3"/>
    </row>
    <row r="35" spans="1:3" x14ac:dyDescent="0.2">
      <c r="A35" s="3"/>
      <c r="B35" s="3"/>
      <c r="C35" s="3"/>
    </row>
    <row r="36" spans="1:3" x14ac:dyDescent="0.2">
      <c r="A36" s="3"/>
      <c r="B36" s="3"/>
      <c r="C36" s="3"/>
    </row>
    <row r="37" spans="1:3" x14ac:dyDescent="0.2">
      <c r="A37" s="3"/>
      <c r="B37" s="3"/>
      <c r="C37" s="3"/>
    </row>
    <row r="38" spans="1:3" x14ac:dyDescent="0.2">
      <c r="A38" s="3"/>
      <c r="B38" s="4"/>
      <c r="C38" s="4"/>
    </row>
    <row r="39" spans="1:3" x14ac:dyDescent="0.2">
      <c r="A39" s="4"/>
      <c r="B39" s="4"/>
      <c r="C39" s="4"/>
    </row>
    <row r="40" spans="1:3" x14ac:dyDescent="0.2">
      <c r="A40" s="217"/>
      <c r="B40" s="217"/>
      <c r="C40" s="3"/>
    </row>
    <row r="41" spans="1:3" x14ac:dyDescent="0.2">
      <c r="A41" s="41"/>
      <c r="B41" s="41"/>
      <c r="C41" s="41"/>
    </row>
    <row r="42" spans="1:3" x14ac:dyDescent="0.2">
      <c r="A42" s="42"/>
      <c r="B42" s="42"/>
      <c r="C42" s="42"/>
    </row>
    <row r="43" spans="1:3" x14ac:dyDescent="0.2">
      <c r="A43" s="42"/>
      <c r="B43" s="42"/>
      <c r="C43" s="42"/>
    </row>
    <row r="44" spans="1:3" x14ac:dyDescent="0.2">
      <c r="A44" s="42"/>
      <c r="B44" s="42"/>
      <c r="C44" s="42"/>
    </row>
    <row r="45" spans="1:3" x14ac:dyDescent="0.2">
      <c r="A45" s="43"/>
      <c r="B45" s="43"/>
      <c r="C45" s="43"/>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row r="53" spans="1:3" x14ac:dyDescent="0.2">
      <c r="A53" s="4"/>
      <c r="B53" s="4"/>
      <c r="C53" s="4"/>
    </row>
  </sheetData>
  <mergeCells count="3">
    <mergeCell ref="A3:A7"/>
    <mergeCell ref="A29:B29"/>
    <mergeCell ref="A40:B40"/>
  </mergeCells>
  <pageMargins left="0.7" right="0.7" top="0.78749999999999998" bottom="0.78749999999999998"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B9F8-D4C7-6541-9AD4-3A126CE71C4C}">
  <dimension ref="A1"/>
  <sheetViews>
    <sheetView workbookViewId="0"/>
  </sheetViews>
  <sheetFormatPr baseColWidth="10" defaultRowHeight="1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4"/>
  <sheetViews>
    <sheetView zoomScale="220" zoomScaleNormal="220" workbookViewId="0">
      <selection activeCell="D10" sqref="D10"/>
    </sheetView>
  </sheetViews>
  <sheetFormatPr baseColWidth="10" defaultColWidth="10.5" defaultRowHeight="15" x14ac:dyDescent="0.2"/>
  <cols>
    <col min="1" max="1" width="16" customWidth="1"/>
    <col min="2" max="2" width="10.83203125" customWidth="1"/>
    <col min="4" max="4" width="11.5" customWidth="1"/>
    <col min="6" max="6" width="24" customWidth="1"/>
  </cols>
  <sheetData>
    <row r="1" spans="1:6" x14ac:dyDescent="0.2">
      <c r="A1" s="9"/>
      <c r="B1" s="10" t="s">
        <v>18</v>
      </c>
      <c r="C1" s="10" t="s">
        <v>41</v>
      </c>
      <c r="D1" s="10" t="s">
        <v>47</v>
      </c>
      <c r="E1" s="10" t="s">
        <v>42</v>
      </c>
      <c r="F1" s="10" t="s">
        <v>19</v>
      </c>
    </row>
    <row r="2" spans="1:6" x14ac:dyDescent="0.2">
      <c r="A2" s="11"/>
      <c r="B2" s="12" t="s">
        <v>20</v>
      </c>
      <c r="C2" s="12" t="s">
        <v>43</v>
      </c>
      <c r="D2" s="13" t="s">
        <v>48</v>
      </c>
      <c r="E2" s="12"/>
      <c r="F2" s="13"/>
    </row>
    <row r="3" spans="1:6" ht="16" x14ac:dyDescent="0.2">
      <c r="A3" s="218" t="s">
        <v>21</v>
      </c>
      <c r="B3" s="14">
        <f>Regelsätze!C4</f>
        <v>506</v>
      </c>
      <c r="C3" s="59">
        <f>Regelsätze!C4</f>
        <v>506</v>
      </c>
      <c r="D3" s="14">
        <f>Regelsätze!C7</f>
        <v>390</v>
      </c>
      <c r="E3" s="44"/>
      <c r="F3" s="15" t="s">
        <v>22</v>
      </c>
    </row>
    <row r="4" spans="1:6" ht="16" x14ac:dyDescent="0.2">
      <c r="A4" s="218"/>
      <c r="B4" s="14"/>
      <c r="C4" s="59"/>
      <c r="D4" s="14">
        <v>25</v>
      </c>
      <c r="E4" s="44"/>
      <c r="F4" s="15" t="s">
        <v>46</v>
      </c>
    </row>
    <row r="5" spans="1:6" ht="16" x14ac:dyDescent="0.2">
      <c r="A5" s="218"/>
      <c r="B5" s="16">
        <v>0</v>
      </c>
      <c r="C5" s="60">
        <v>0</v>
      </c>
      <c r="D5" s="16">
        <v>0</v>
      </c>
      <c r="E5" s="45"/>
      <c r="F5" s="17" t="s">
        <v>23</v>
      </c>
    </row>
    <row r="6" spans="1:6" ht="16" x14ac:dyDescent="0.2">
      <c r="A6" s="218"/>
      <c r="B6" s="18">
        <f>750/3</f>
        <v>250</v>
      </c>
      <c r="C6" s="61">
        <f>B6</f>
        <v>250</v>
      </c>
      <c r="D6" s="30">
        <f>B6</f>
        <v>250</v>
      </c>
      <c r="E6" s="46"/>
      <c r="F6" s="17" t="s">
        <v>24</v>
      </c>
    </row>
    <row r="7" spans="1:6" ht="16" x14ac:dyDescent="0.2">
      <c r="A7" s="218"/>
      <c r="B7" s="19">
        <f>SUM(B3:B6)</f>
        <v>756</v>
      </c>
      <c r="C7" s="62">
        <f>SUM(C3:C6)</f>
        <v>756</v>
      </c>
      <c r="D7" s="19">
        <f>SUM(D3:D6)</f>
        <v>665</v>
      </c>
      <c r="E7" s="47">
        <f>SUM(B7:D7)</f>
        <v>2177</v>
      </c>
      <c r="F7" s="17" t="s">
        <v>25</v>
      </c>
    </row>
    <row r="8" spans="1:6" ht="32" x14ac:dyDescent="0.2">
      <c r="A8" s="20" t="s">
        <v>26</v>
      </c>
      <c r="B8" s="21">
        <v>0</v>
      </c>
      <c r="C8" s="21">
        <v>0</v>
      </c>
      <c r="E8" s="48"/>
      <c r="F8" s="22"/>
    </row>
    <row r="9" spans="1:6" ht="32" x14ac:dyDescent="0.2">
      <c r="A9" s="23" t="s">
        <v>27</v>
      </c>
      <c r="B9" s="24">
        <v>0</v>
      </c>
      <c r="C9" s="24">
        <v>0</v>
      </c>
      <c r="D9" s="24">
        <v>255</v>
      </c>
      <c r="E9" s="24">
        <f>SUM(B9:D9)</f>
        <v>255</v>
      </c>
      <c r="F9" s="22"/>
    </row>
    <row r="10" spans="1:6" ht="16" x14ac:dyDescent="0.2">
      <c r="A10" s="25" t="s">
        <v>28</v>
      </c>
      <c r="B10" s="136">
        <f>B3+B5+B6-B8-B9</f>
        <v>756</v>
      </c>
      <c r="C10" s="136">
        <f>C3+C5+C6-C8-C9</f>
        <v>756</v>
      </c>
      <c r="D10" s="136">
        <f>D3+D4+D5+D6-D8-D9</f>
        <v>410</v>
      </c>
      <c r="E10" s="170">
        <f>SUM(B10:D10)</f>
        <v>1922</v>
      </c>
      <c r="F10" s="27"/>
    </row>
    <row r="11" spans="1:6" ht="16" x14ac:dyDescent="0.2">
      <c r="A11" s="25" t="s">
        <v>44</v>
      </c>
      <c r="B11" s="182">
        <f>B10/E10</f>
        <v>0.39334027055150883</v>
      </c>
      <c r="C11" s="182">
        <f>C10/E10</f>
        <v>0.39334027055150883</v>
      </c>
      <c r="D11" s="182">
        <f>D10/E10</f>
        <v>0.21331945889698231</v>
      </c>
      <c r="E11" s="181">
        <f>SUM(B11:D11)</f>
        <v>1</v>
      </c>
      <c r="F11" s="22"/>
    </row>
    <row r="12" spans="1:6" ht="16" x14ac:dyDescent="0.2">
      <c r="A12" s="2" t="s">
        <v>29</v>
      </c>
      <c r="B12" s="51">
        <v>1450</v>
      </c>
      <c r="C12" s="51">
        <v>0</v>
      </c>
      <c r="D12" s="51">
        <v>0</v>
      </c>
      <c r="E12" s="52"/>
      <c r="F12" s="53" t="s">
        <v>30</v>
      </c>
    </row>
    <row r="13" spans="1:6" ht="16" x14ac:dyDescent="0.2">
      <c r="A13" s="54"/>
      <c r="B13" s="55">
        <v>1250</v>
      </c>
      <c r="C13" s="55">
        <v>0</v>
      </c>
      <c r="D13" s="55">
        <v>0</v>
      </c>
      <c r="E13" s="55"/>
      <c r="F13" s="53" t="s">
        <v>31</v>
      </c>
    </row>
    <row r="14" spans="1:6" ht="16" x14ac:dyDescent="0.2">
      <c r="A14" s="2"/>
      <c r="B14" s="55">
        <v>0</v>
      </c>
      <c r="C14" s="55">
        <v>0</v>
      </c>
      <c r="D14" s="55"/>
      <c r="E14" s="55"/>
      <c r="F14" s="53" t="s">
        <v>32</v>
      </c>
    </row>
    <row r="15" spans="1:6" ht="32" x14ac:dyDescent="0.2">
      <c r="A15" s="2"/>
      <c r="B15" s="55">
        <v>0</v>
      </c>
      <c r="C15" s="55">
        <v>0</v>
      </c>
      <c r="D15" s="56">
        <v>0</v>
      </c>
      <c r="E15" s="56"/>
      <c r="F15" s="53" t="s">
        <v>33</v>
      </c>
    </row>
    <row r="16" spans="1:6" ht="16" x14ac:dyDescent="0.2">
      <c r="A16" s="2"/>
      <c r="B16" s="55">
        <v>100</v>
      </c>
      <c r="C16" s="55">
        <v>0</v>
      </c>
      <c r="D16" s="55">
        <v>0</v>
      </c>
      <c r="E16" s="55"/>
      <c r="F16" s="53" t="s">
        <v>34</v>
      </c>
    </row>
    <row r="17" spans="1:7" ht="16" x14ac:dyDescent="0.2">
      <c r="A17" s="2"/>
      <c r="B17" s="55">
        <f>420*0.2+480*0.3+450*0.1</f>
        <v>273</v>
      </c>
      <c r="C17" s="55">
        <v>0</v>
      </c>
      <c r="D17" s="55">
        <v>0</v>
      </c>
      <c r="E17" s="55"/>
      <c r="F17" s="53" t="s">
        <v>35</v>
      </c>
    </row>
    <row r="18" spans="1:7" ht="16" x14ac:dyDescent="0.2">
      <c r="A18" s="2"/>
      <c r="B18" s="55">
        <f>B13-B16-B17</f>
        <v>877</v>
      </c>
      <c r="C18" s="55">
        <f>(C13-C16-C17)+C14-C15</f>
        <v>0</v>
      </c>
      <c r="D18" s="55">
        <f>(D13-D16-D17)+D14-D15</f>
        <v>0</v>
      </c>
      <c r="E18" s="55">
        <f>SUM(B18:D18)</f>
        <v>877</v>
      </c>
      <c r="F18" s="53" t="s">
        <v>25</v>
      </c>
    </row>
    <row r="19" spans="1:7" ht="32" x14ac:dyDescent="0.2">
      <c r="A19" s="34" t="s">
        <v>36</v>
      </c>
      <c r="B19" s="137">
        <f>E18*B11</f>
        <v>344.95941727367324</v>
      </c>
      <c r="C19" s="137">
        <f>E18*C11</f>
        <v>344.95941727367324</v>
      </c>
      <c r="D19" s="137">
        <f>E18*D11</f>
        <v>187.08116545265349</v>
      </c>
      <c r="E19" s="137">
        <f>B19+C19</f>
        <v>689.91883454734648</v>
      </c>
      <c r="F19" s="22"/>
    </row>
    <row r="20" spans="1:7" ht="48" x14ac:dyDescent="0.2">
      <c r="A20" s="34" t="s">
        <v>49</v>
      </c>
      <c r="B20" s="129">
        <f>B10-B19</f>
        <v>411.04058272632676</v>
      </c>
      <c r="C20" s="129">
        <f>C10-C19</f>
        <v>411.04058272632676</v>
      </c>
      <c r="D20" s="129">
        <f>D10-D19</f>
        <v>222.91883454734651</v>
      </c>
      <c r="E20" s="137"/>
      <c r="F20" s="22" t="s">
        <v>38</v>
      </c>
    </row>
    <row r="21" spans="1:7" ht="32" x14ac:dyDescent="0.2">
      <c r="A21" s="36" t="s">
        <v>39</v>
      </c>
      <c r="B21" s="22">
        <v>0</v>
      </c>
      <c r="C21" s="22">
        <v>0</v>
      </c>
      <c r="D21" s="22">
        <v>0</v>
      </c>
      <c r="E21" s="24"/>
      <c r="F21" s="22"/>
    </row>
    <row r="22" spans="1:7" x14ac:dyDescent="0.2">
      <c r="A22" s="37" t="s">
        <v>40</v>
      </c>
      <c r="B22" s="24">
        <f>B20-B21</f>
        <v>411.04058272632676</v>
      </c>
      <c r="C22" s="24">
        <f>C20-C21</f>
        <v>411.04058272632676</v>
      </c>
      <c r="D22" s="24">
        <f>D20-D21</f>
        <v>222.91883454734651</v>
      </c>
      <c r="E22" s="12"/>
      <c r="F22" s="12"/>
    </row>
    <row r="23" spans="1:7" x14ac:dyDescent="0.2">
      <c r="A23" s="4"/>
      <c r="B23" s="3"/>
      <c r="C23" s="3"/>
      <c r="D23" s="3"/>
      <c r="G23">
        <f>420*0.2</f>
        <v>84</v>
      </c>
    </row>
    <row r="24" spans="1:7" x14ac:dyDescent="0.2">
      <c r="A24" s="40"/>
      <c r="B24" s="4"/>
      <c r="C24" s="4"/>
      <c r="D24" s="4"/>
      <c r="G24">
        <f>480*0.3</f>
        <v>144</v>
      </c>
    </row>
    <row r="25" spans="1:7" x14ac:dyDescent="0.2">
      <c r="A25" s="4"/>
      <c r="B25" s="4"/>
      <c r="C25" s="4"/>
      <c r="D25" s="4"/>
      <c r="G25">
        <f>450*0.1</f>
        <v>45</v>
      </c>
    </row>
    <row r="26" spans="1:7" x14ac:dyDescent="0.2">
      <c r="A26" s="4"/>
      <c r="B26" s="4"/>
      <c r="C26" s="4"/>
      <c r="D26" s="4"/>
      <c r="G26">
        <f>SUM(G23:G25)</f>
        <v>273</v>
      </c>
    </row>
    <row r="27" spans="1:7" x14ac:dyDescent="0.2">
      <c r="A27" s="57"/>
      <c r="B27" s="4"/>
      <c r="C27" s="4"/>
      <c r="D27" s="4"/>
    </row>
    <row r="28" spans="1:7" x14ac:dyDescent="0.2">
      <c r="A28" s="4"/>
      <c r="B28" s="3"/>
      <c r="C28" s="3"/>
      <c r="D28" s="3"/>
    </row>
    <row r="29" spans="1:7" x14ac:dyDescent="0.2">
      <c r="A29" s="40"/>
      <c r="B29" s="4"/>
      <c r="C29" s="4"/>
      <c r="D29" s="4"/>
    </row>
    <row r="30" spans="1:7" x14ac:dyDescent="0.2">
      <c r="A30" s="4"/>
      <c r="B30" s="4"/>
      <c r="C30" s="4"/>
      <c r="D30" s="4"/>
    </row>
    <row r="31" spans="1:7" x14ac:dyDescent="0.2">
      <c r="A31" s="4"/>
      <c r="B31" s="4"/>
      <c r="C31" s="4"/>
      <c r="D31" s="4"/>
    </row>
    <row r="32" spans="1:7" x14ac:dyDescent="0.2">
      <c r="A32" s="4"/>
      <c r="B32" s="3"/>
      <c r="C32" s="3"/>
      <c r="D32" s="3"/>
    </row>
    <row r="33" spans="1:4" x14ac:dyDescent="0.2">
      <c r="A33" s="3"/>
      <c r="B33" s="4"/>
      <c r="C33" s="4"/>
    </row>
    <row r="34" spans="1:4" x14ac:dyDescent="0.2">
      <c r="B34" s="4"/>
      <c r="C34" s="3"/>
      <c r="D34" s="3"/>
    </row>
    <row r="35" spans="1:4" x14ac:dyDescent="0.2">
      <c r="A35" s="3"/>
      <c r="B35" s="4"/>
      <c r="C35" s="3"/>
      <c r="D35" s="3"/>
    </row>
    <row r="36" spans="1:4" x14ac:dyDescent="0.2">
      <c r="A36" s="3"/>
      <c r="B36" s="4"/>
      <c r="C36" s="3"/>
      <c r="D36" s="3"/>
    </row>
    <row r="37" spans="1:4" x14ac:dyDescent="0.2">
      <c r="A37" s="3"/>
      <c r="B37" s="3"/>
      <c r="C37" s="3"/>
      <c r="D37" s="3"/>
    </row>
    <row r="38" spans="1:4" x14ac:dyDescent="0.2">
      <c r="A38" s="3"/>
      <c r="B38" s="4"/>
      <c r="C38" s="4"/>
      <c r="D38" s="63"/>
    </row>
    <row r="39" spans="1:4" x14ac:dyDescent="0.2">
      <c r="A39" s="3"/>
      <c r="B39" s="4"/>
      <c r="C39" s="4"/>
      <c r="D39" s="4"/>
    </row>
    <row r="40" spans="1:4" x14ac:dyDescent="0.2">
      <c r="A40" s="4"/>
      <c r="B40" s="3"/>
      <c r="C40" s="3"/>
      <c r="D40" s="4"/>
    </row>
    <row r="41" spans="1:4" x14ac:dyDescent="0.2">
      <c r="A41" s="3"/>
      <c r="B41" s="41"/>
      <c r="C41" s="41"/>
      <c r="D41" s="41"/>
    </row>
    <row r="42" spans="1:4" x14ac:dyDescent="0.2">
      <c r="A42" s="41"/>
      <c r="B42" s="42"/>
      <c r="C42" s="42"/>
      <c r="D42" s="42"/>
    </row>
    <row r="43" spans="1:4" x14ac:dyDescent="0.2">
      <c r="A43" s="3"/>
      <c r="B43" s="42"/>
      <c r="C43" s="42"/>
      <c r="D43" s="42"/>
    </row>
    <row r="44" spans="1:4" x14ac:dyDescent="0.2">
      <c r="A44" s="3"/>
      <c r="B44" s="42"/>
      <c r="C44" s="42"/>
      <c r="D44" s="42"/>
    </row>
    <row r="45" spans="1:4" x14ac:dyDescent="0.2">
      <c r="A45" s="3"/>
      <c r="B45" s="43"/>
      <c r="C45" s="43"/>
      <c r="D45" s="43"/>
    </row>
    <row r="46" spans="1:4" x14ac:dyDescent="0.2">
      <c r="A46" s="43"/>
      <c r="B46" s="4"/>
      <c r="C46" s="4"/>
      <c r="D46" s="4"/>
    </row>
    <row r="47" spans="1:4" x14ac:dyDescent="0.2">
      <c r="A47" s="4"/>
      <c r="B47" s="4"/>
      <c r="C47" s="4"/>
      <c r="D47" s="4"/>
    </row>
    <row r="48" spans="1:4" x14ac:dyDescent="0.2">
      <c r="A48" s="4"/>
      <c r="B48" s="4"/>
      <c r="C48" s="4"/>
      <c r="D48" s="4"/>
    </row>
    <row r="49" spans="1:4" x14ac:dyDescent="0.2">
      <c r="A49" s="4"/>
      <c r="B49" s="4"/>
      <c r="C49" s="4"/>
      <c r="D49" s="4"/>
    </row>
    <row r="50" spans="1:4" x14ac:dyDescent="0.2">
      <c r="A50" s="4"/>
      <c r="B50" s="4"/>
      <c r="C50" s="4"/>
      <c r="D50" s="4"/>
    </row>
    <row r="51" spans="1:4" x14ac:dyDescent="0.2">
      <c r="A51" s="4"/>
      <c r="B51" s="4"/>
      <c r="C51" s="4"/>
      <c r="D51" s="4"/>
    </row>
    <row r="52" spans="1:4" x14ac:dyDescent="0.2">
      <c r="A52" s="4"/>
      <c r="B52" s="4"/>
      <c r="C52" s="4"/>
      <c r="D52" s="4"/>
    </row>
    <row r="53" spans="1:4" x14ac:dyDescent="0.2">
      <c r="A53" s="4"/>
      <c r="B53" s="4"/>
      <c r="C53" s="4"/>
      <c r="D53" s="4"/>
    </row>
    <row r="54" spans="1:4" x14ac:dyDescent="0.2">
      <c r="A54" s="4"/>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3"/>
  <sheetViews>
    <sheetView zoomScale="190" zoomScaleNormal="190" workbookViewId="0">
      <selection activeCell="H12" sqref="H12"/>
    </sheetView>
  </sheetViews>
  <sheetFormatPr baseColWidth="10" defaultColWidth="10.5" defaultRowHeight="15" x14ac:dyDescent="0.2"/>
  <cols>
    <col min="1" max="1" width="12.33203125" customWidth="1"/>
    <col min="6" max="6" width="23.6640625" customWidth="1"/>
    <col min="8" max="8" width="39.83203125" customWidth="1"/>
  </cols>
  <sheetData>
    <row r="1" spans="1:8" x14ac:dyDescent="0.2">
      <c r="A1" s="9"/>
      <c r="B1" s="10" t="s">
        <v>18</v>
      </c>
      <c r="C1" s="10" t="s">
        <v>41</v>
      </c>
      <c r="D1" s="10" t="s">
        <v>47</v>
      </c>
      <c r="E1" s="10" t="s">
        <v>42</v>
      </c>
      <c r="F1" s="10" t="s">
        <v>19</v>
      </c>
      <c r="H1" s="10" t="s">
        <v>47</v>
      </c>
    </row>
    <row r="2" spans="1:8" x14ac:dyDescent="0.2">
      <c r="A2" s="11"/>
      <c r="B2" s="12"/>
      <c r="C2" s="12"/>
      <c r="D2" s="12"/>
      <c r="E2" s="12"/>
      <c r="F2" s="13"/>
      <c r="H2" s="12" t="s">
        <v>114</v>
      </c>
    </row>
    <row r="3" spans="1:8" ht="16" x14ac:dyDescent="0.2">
      <c r="A3" s="218" t="s">
        <v>21</v>
      </c>
      <c r="B3" s="14">
        <f>Regelsätze!C4</f>
        <v>506</v>
      </c>
      <c r="C3" s="14">
        <f>Regelsätze!C4</f>
        <v>506</v>
      </c>
      <c r="D3" s="14">
        <f>Regelsätze!C6</f>
        <v>471</v>
      </c>
      <c r="E3" s="44"/>
      <c r="F3" s="15" t="s">
        <v>22</v>
      </c>
      <c r="H3" s="101"/>
    </row>
    <row r="4" spans="1:8" ht="16" x14ac:dyDescent="0.2">
      <c r="A4" s="218"/>
      <c r="B4" s="14"/>
      <c r="C4" s="14"/>
      <c r="D4" s="14">
        <v>20</v>
      </c>
      <c r="E4" s="44"/>
      <c r="F4" s="15" t="s">
        <v>46</v>
      </c>
      <c r="H4" s="101"/>
    </row>
    <row r="5" spans="1:8" ht="16" x14ac:dyDescent="0.2">
      <c r="A5" s="218"/>
      <c r="B5" s="16">
        <v>0</v>
      </c>
      <c r="C5" s="16">
        <v>0</v>
      </c>
      <c r="D5" s="16">
        <v>0</v>
      </c>
      <c r="E5" s="45"/>
      <c r="F5" s="17" t="s">
        <v>23</v>
      </c>
      <c r="H5" s="101"/>
    </row>
    <row r="6" spans="1:8" ht="16" x14ac:dyDescent="0.2">
      <c r="A6" s="218"/>
      <c r="B6" s="18">
        <f>750/3</f>
        <v>250</v>
      </c>
      <c r="C6" s="30">
        <f>B6</f>
        <v>250</v>
      </c>
      <c r="D6" s="30">
        <f>B6</f>
        <v>250</v>
      </c>
      <c r="E6" s="46"/>
      <c r="F6" s="17" t="s">
        <v>24</v>
      </c>
      <c r="H6" s="55"/>
    </row>
    <row r="7" spans="1:8" ht="16" x14ac:dyDescent="0.2">
      <c r="A7" s="218"/>
      <c r="B7" s="19">
        <f>SUM(B3:B6)</f>
        <v>756</v>
      </c>
      <c r="C7" s="19">
        <f>SUM(C3:C6)</f>
        <v>756</v>
      </c>
      <c r="D7" s="19">
        <f>SUM(D3:D6)</f>
        <v>741</v>
      </c>
      <c r="E7" s="47">
        <f>SUM(B7:D7)</f>
        <v>2253</v>
      </c>
      <c r="F7" s="17" t="s">
        <v>25</v>
      </c>
      <c r="H7" s="101"/>
    </row>
    <row r="8" spans="1:8" ht="32" x14ac:dyDescent="0.2">
      <c r="A8" s="20" t="s">
        <v>26</v>
      </c>
      <c r="B8" s="21">
        <v>0</v>
      </c>
      <c r="C8" s="21">
        <v>0</v>
      </c>
      <c r="D8" s="21">
        <f>H18</f>
        <v>852</v>
      </c>
      <c r="E8" s="143"/>
      <c r="F8" s="22"/>
      <c r="H8" s="21"/>
    </row>
    <row r="9" spans="1:8" ht="32" x14ac:dyDescent="0.2">
      <c r="A9" s="23" t="s">
        <v>27</v>
      </c>
      <c r="B9" s="24">
        <v>0</v>
      </c>
      <c r="C9" s="24">
        <v>0</v>
      </c>
      <c r="D9" s="24">
        <f>Regelsätze!B11</f>
        <v>255</v>
      </c>
      <c r="E9" s="142">
        <f>SUM(B9:D9)</f>
        <v>255</v>
      </c>
      <c r="F9" s="22"/>
      <c r="H9" s="24"/>
    </row>
    <row r="10" spans="1:8" ht="32" x14ac:dyDescent="0.2">
      <c r="A10" s="25" t="s">
        <v>28</v>
      </c>
      <c r="B10" s="26">
        <f>B3+B5+B6-B8-B9</f>
        <v>756</v>
      </c>
      <c r="C10" s="26">
        <f>C3+C5+C6-C8-C9</f>
        <v>756</v>
      </c>
      <c r="D10" s="26">
        <f>D7-D8-D9</f>
        <v>-366</v>
      </c>
      <c r="E10" s="49">
        <f>B10+C10</f>
        <v>1512</v>
      </c>
      <c r="F10" s="27"/>
      <c r="H10" s="140"/>
    </row>
    <row r="11" spans="1:8" ht="16" x14ac:dyDescent="0.2">
      <c r="A11" s="25" t="s">
        <v>44</v>
      </c>
      <c r="B11" s="48">
        <f>B10/E10</f>
        <v>0.5</v>
      </c>
      <c r="C11" s="48">
        <f>C10/E10</f>
        <v>0.5</v>
      </c>
      <c r="D11" s="48"/>
      <c r="E11" s="50">
        <f>SUM(B11:D11)</f>
        <v>1</v>
      </c>
      <c r="F11" s="22"/>
      <c r="H11" s="48"/>
    </row>
    <row r="12" spans="1:8" ht="16" x14ac:dyDescent="0.2">
      <c r="A12" s="2" t="s">
        <v>29</v>
      </c>
      <c r="B12" s="51">
        <v>240</v>
      </c>
      <c r="C12" s="51">
        <v>0</v>
      </c>
      <c r="D12" s="51"/>
      <c r="E12" s="51">
        <v>0</v>
      </c>
      <c r="F12" s="53" t="s">
        <v>30</v>
      </c>
      <c r="H12" s="51">
        <v>1450</v>
      </c>
    </row>
    <row r="13" spans="1:8" ht="63.75" customHeight="1" x14ac:dyDescent="0.2">
      <c r="A13" s="54"/>
      <c r="B13" s="55">
        <v>0</v>
      </c>
      <c r="C13" s="55">
        <v>0</v>
      </c>
      <c r="D13" s="55"/>
      <c r="E13" s="55">
        <v>0</v>
      </c>
      <c r="F13" s="53" t="s">
        <v>31</v>
      </c>
      <c r="H13" s="55">
        <v>1200</v>
      </c>
    </row>
    <row r="14" spans="1:8" ht="63.75" customHeight="1" x14ac:dyDescent="0.2">
      <c r="A14" s="2"/>
      <c r="B14" s="55">
        <v>0</v>
      </c>
      <c r="C14" s="55">
        <v>0</v>
      </c>
      <c r="D14" s="55"/>
      <c r="E14" s="55"/>
      <c r="F14" s="53" t="s">
        <v>32</v>
      </c>
      <c r="H14" s="55"/>
    </row>
    <row r="15" spans="1:8" ht="48" customHeight="1" x14ac:dyDescent="0.2">
      <c r="A15" s="2"/>
      <c r="B15" s="55"/>
      <c r="C15" s="55">
        <v>0</v>
      </c>
      <c r="D15" s="131"/>
      <c r="E15" s="56">
        <v>0</v>
      </c>
      <c r="F15" s="53" t="s">
        <v>33</v>
      </c>
      <c r="H15" s="141"/>
    </row>
    <row r="16" spans="1:8" ht="48" customHeight="1" x14ac:dyDescent="0.2">
      <c r="A16" s="2"/>
      <c r="B16" s="55">
        <v>100</v>
      </c>
      <c r="C16" s="55">
        <v>0</v>
      </c>
      <c r="D16" s="56"/>
      <c r="E16" s="55"/>
      <c r="F16" s="53" t="s">
        <v>34</v>
      </c>
      <c r="H16" s="56">
        <v>100</v>
      </c>
    </row>
    <row r="17" spans="1:8" ht="31.5" customHeight="1" x14ac:dyDescent="0.2">
      <c r="A17" s="2"/>
      <c r="B17" s="55">
        <f>(B12-100)*0.2</f>
        <v>28</v>
      </c>
      <c r="C17" s="55">
        <v>0</v>
      </c>
      <c r="D17" s="55"/>
      <c r="E17" s="55"/>
      <c r="F17" s="53" t="s">
        <v>35</v>
      </c>
      <c r="H17" s="55">
        <f>420*0.2+480*0.3+200*0.1</f>
        <v>248</v>
      </c>
    </row>
    <row r="18" spans="1:8" ht="79.5" customHeight="1" x14ac:dyDescent="0.2">
      <c r="A18" s="2"/>
      <c r="B18" s="55">
        <f>B12-B16-B17</f>
        <v>112</v>
      </c>
      <c r="C18" s="55">
        <f>(C13-C16-C17)+C14-C15</f>
        <v>0</v>
      </c>
      <c r="D18" s="55"/>
      <c r="E18" s="55">
        <f>B18</f>
        <v>112</v>
      </c>
      <c r="F18" s="53" t="s">
        <v>25</v>
      </c>
      <c r="H18" s="55">
        <f>H13-H16-H17</f>
        <v>852</v>
      </c>
    </row>
    <row r="19" spans="1:8" ht="32" x14ac:dyDescent="0.2">
      <c r="A19" s="34" t="s">
        <v>36</v>
      </c>
      <c r="B19" s="139">
        <f>E18*B11</f>
        <v>56</v>
      </c>
      <c r="C19" s="139">
        <f>B19</f>
        <v>56</v>
      </c>
      <c r="D19" s="24"/>
      <c r="E19" s="24"/>
      <c r="F19" s="22"/>
      <c r="H19" s="24"/>
    </row>
    <row r="20" spans="1:8" ht="63.75" customHeight="1" x14ac:dyDescent="0.2">
      <c r="A20" s="34" t="s">
        <v>49</v>
      </c>
      <c r="B20" s="35">
        <f>B10-B19</f>
        <v>700</v>
      </c>
      <c r="C20" s="35">
        <f>C10-C19</f>
        <v>700</v>
      </c>
      <c r="D20" s="35"/>
      <c r="E20" s="24"/>
      <c r="F20" s="22" t="s">
        <v>38</v>
      </c>
      <c r="H20" s="35"/>
    </row>
    <row r="21" spans="1:8" ht="48" x14ac:dyDescent="0.2">
      <c r="A21" s="36" t="s">
        <v>39</v>
      </c>
      <c r="B21" s="22">
        <f>D9/2</f>
        <v>127.5</v>
      </c>
      <c r="C21" s="22">
        <f>B21</f>
        <v>127.5</v>
      </c>
      <c r="D21" s="22"/>
      <c r="E21" s="24"/>
      <c r="F21" s="22"/>
      <c r="H21" s="80">
        <v>0</v>
      </c>
    </row>
    <row r="22" spans="1:8" x14ac:dyDescent="0.2">
      <c r="A22" s="37" t="s">
        <v>40</v>
      </c>
      <c r="B22" s="24">
        <f>B20-B21</f>
        <v>572.5</v>
      </c>
      <c r="C22" s="24">
        <f>C20-C21</f>
        <v>572.5</v>
      </c>
      <c r="D22" s="24"/>
      <c r="E22" s="12"/>
      <c r="F22" s="12"/>
      <c r="H22" s="24"/>
    </row>
    <row r="23" spans="1:8" x14ac:dyDescent="0.2">
      <c r="A23" s="40"/>
      <c r="B23" s="3"/>
      <c r="C23" s="3"/>
      <c r="D23" s="3"/>
      <c r="H23" s="3"/>
    </row>
    <row r="24" spans="1:8" x14ac:dyDescent="0.2">
      <c r="A24" s="4"/>
      <c r="B24" s="4"/>
      <c r="C24" s="4"/>
      <c r="D24" s="4"/>
      <c r="H24" s="4"/>
    </row>
    <row r="25" spans="1:8" x14ac:dyDescent="0.2">
      <c r="A25" s="4"/>
      <c r="B25" s="4"/>
      <c r="C25" s="4"/>
      <c r="D25" s="4"/>
      <c r="H25" s="4"/>
    </row>
    <row r="26" spans="1:8" x14ac:dyDescent="0.2">
      <c r="A26" s="57"/>
      <c r="B26" s="4"/>
      <c r="C26" s="4"/>
      <c r="D26" s="4"/>
      <c r="H26" s="4"/>
    </row>
    <row r="27" spans="1:8" x14ac:dyDescent="0.2">
      <c r="A27" s="4"/>
      <c r="B27" s="4"/>
      <c r="C27" s="4"/>
      <c r="D27" s="4"/>
      <c r="H27" s="4"/>
    </row>
    <row r="28" spans="1:8" x14ac:dyDescent="0.2">
      <c r="A28" s="40"/>
      <c r="B28" s="3"/>
      <c r="C28" s="3"/>
      <c r="D28" s="3"/>
      <c r="H28" s="3"/>
    </row>
    <row r="29" spans="1:8" x14ac:dyDescent="0.2">
      <c r="A29" s="217"/>
      <c r="B29" s="217"/>
      <c r="C29" s="4"/>
      <c r="D29" s="4"/>
      <c r="H29" s="4"/>
    </row>
    <row r="30" spans="1:8" x14ac:dyDescent="0.2">
      <c r="A30" s="4"/>
      <c r="B30" s="4"/>
      <c r="C30" s="4"/>
      <c r="D30" s="4"/>
      <c r="H30" s="4"/>
    </row>
    <row r="31" spans="1:8" x14ac:dyDescent="0.2">
      <c r="A31" s="4"/>
      <c r="B31" s="4"/>
      <c r="C31" s="4"/>
      <c r="D31" s="4"/>
      <c r="H31" s="4"/>
    </row>
    <row r="32" spans="1:8" x14ac:dyDescent="0.2">
      <c r="A32" s="4"/>
      <c r="B32" s="3"/>
      <c r="C32" s="4"/>
      <c r="D32" s="3"/>
      <c r="H32" s="3"/>
    </row>
    <row r="33" spans="1:8" x14ac:dyDescent="0.2">
      <c r="B33" s="4"/>
      <c r="C33" s="4"/>
    </row>
    <row r="34" spans="1:8" x14ac:dyDescent="0.2">
      <c r="B34" s="3"/>
      <c r="C34" s="3"/>
      <c r="D34" s="3"/>
      <c r="H34" s="3"/>
    </row>
    <row r="35" spans="1:8" x14ac:dyDescent="0.2">
      <c r="A35" s="4"/>
      <c r="B35" s="3"/>
      <c r="C35" s="4"/>
      <c r="D35" s="3"/>
      <c r="H35" s="3"/>
    </row>
    <row r="36" spans="1:8" x14ac:dyDescent="0.2">
      <c r="A36" s="3"/>
      <c r="B36" s="3"/>
      <c r="C36" s="3"/>
      <c r="D36" s="3"/>
      <c r="H36" s="3"/>
    </row>
    <row r="37" spans="1:8" x14ac:dyDescent="0.2">
      <c r="A37" s="3"/>
      <c r="B37" s="3"/>
      <c r="C37" s="3"/>
      <c r="D37" s="3"/>
      <c r="H37" s="3"/>
    </row>
    <row r="38" spans="1:8" x14ac:dyDescent="0.2">
      <c r="A38" s="3"/>
      <c r="B38" s="4"/>
      <c r="C38" s="4"/>
      <c r="D38" s="63"/>
      <c r="H38" s="63"/>
    </row>
    <row r="39" spans="1:8" x14ac:dyDescent="0.2">
      <c r="A39" s="4"/>
      <c r="B39" s="4"/>
      <c r="C39" s="4"/>
      <c r="D39" s="4"/>
      <c r="H39" s="4"/>
    </row>
    <row r="40" spans="1:8" x14ac:dyDescent="0.2">
      <c r="A40" s="217"/>
      <c r="B40" s="217"/>
      <c r="C40" s="3"/>
      <c r="D40" s="4"/>
      <c r="H40" s="4"/>
    </row>
    <row r="41" spans="1:8" x14ac:dyDescent="0.2">
      <c r="A41" s="41"/>
      <c r="B41" s="41"/>
      <c r="C41" s="41"/>
      <c r="D41" s="41"/>
      <c r="H41" s="41"/>
    </row>
    <row r="42" spans="1:8" x14ac:dyDescent="0.2">
      <c r="A42" s="42"/>
      <c r="B42" s="42"/>
      <c r="C42" s="42"/>
      <c r="D42" s="42"/>
      <c r="H42" s="42"/>
    </row>
    <row r="43" spans="1:8" x14ac:dyDescent="0.2">
      <c r="A43" s="42"/>
      <c r="B43" s="42"/>
      <c r="C43" s="42"/>
      <c r="D43" s="42"/>
      <c r="H43" s="42"/>
    </row>
    <row r="44" spans="1:8" x14ac:dyDescent="0.2">
      <c r="A44" s="42"/>
      <c r="B44" s="42"/>
      <c r="C44" s="42"/>
      <c r="D44" s="42"/>
      <c r="H44" s="42"/>
    </row>
    <row r="45" spans="1:8" x14ac:dyDescent="0.2">
      <c r="A45" s="43"/>
      <c r="B45" s="43"/>
      <c r="C45" s="43"/>
      <c r="D45" s="43"/>
      <c r="H45" s="43"/>
    </row>
    <row r="46" spans="1:8" x14ac:dyDescent="0.2">
      <c r="A46" s="4"/>
      <c r="B46" s="4"/>
      <c r="C46" s="4"/>
      <c r="D46" s="4"/>
      <c r="H46" s="4"/>
    </row>
    <row r="47" spans="1:8" x14ac:dyDescent="0.2">
      <c r="A47" s="4"/>
      <c r="B47" s="4"/>
      <c r="C47" s="4"/>
      <c r="D47" s="4"/>
      <c r="H47" s="4"/>
    </row>
    <row r="48" spans="1:8" x14ac:dyDescent="0.2">
      <c r="A48" s="4"/>
      <c r="B48" s="4"/>
      <c r="C48" s="4"/>
      <c r="D48" s="4"/>
      <c r="H48" s="4"/>
    </row>
    <row r="49" spans="1:8" x14ac:dyDescent="0.2">
      <c r="A49" s="4"/>
      <c r="B49" s="4"/>
      <c r="C49" s="4"/>
      <c r="D49" s="4"/>
      <c r="H49" s="4"/>
    </row>
    <row r="50" spans="1:8" x14ac:dyDescent="0.2">
      <c r="A50" s="4"/>
      <c r="B50" s="4"/>
      <c r="C50" s="4"/>
      <c r="D50" s="4"/>
      <c r="H50" s="4"/>
    </row>
    <row r="51" spans="1:8" x14ac:dyDescent="0.2">
      <c r="A51" s="4"/>
      <c r="B51" s="4"/>
      <c r="C51" s="4"/>
      <c r="D51" s="4"/>
      <c r="H51" s="4"/>
    </row>
    <row r="52" spans="1:8" x14ac:dyDescent="0.2">
      <c r="A52" s="4"/>
      <c r="B52" s="4"/>
      <c r="C52" s="4"/>
      <c r="D52" s="4"/>
      <c r="H52" s="4"/>
    </row>
    <row r="53" spans="1:8" x14ac:dyDescent="0.2">
      <c r="A53" s="4"/>
      <c r="B53" s="4"/>
      <c r="C53" s="4"/>
      <c r="D53" s="4"/>
      <c r="H53" s="4"/>
    </row>
  </sheetData>
  <mergeCells count="3">
    <mergeCell ref="A3:A7"/>
    <mergeCell ref="A29:B29"/>
    <mergeCell ref="A40:B40"/>
  </mergeCells>
  <pageMargins left="0.7" right="0.7" top="0.78749999999999998" bottom="0.78749999999999998"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zoomScaleNormal="100" workbookViewId="0">
      <selection activeCell="B4" sqref="B4"/>
    </sheetView>
  </sheetViews>
  <sheetFormatPr baseColWidth="10" defaultColWidth="10.5" defaultRowHeight="15" x14ac:dyDescent="0.2"/>
  <cols>
    <col min="1" max="1" width="17.5" customWidth="1"/>
    <col min="6" max="6" width="24.5" customWidth="1"/>
  </cols>
  <sheetData>
    <row r="1" spans="1:6" ht="16" x14ac:dyDescent="0.2">
      <c r="A1" s="13"/>
      <c r="B1" s="64" t="s">
        <v>18</v>
      </c>
      <c r="C1" s="64" t="s">
        <v>41</v>
      </c>
      <c r="D1" s="64" t="s">
        <v>47</v>
      </c>
      <c r="E1" s="64" t="s">
        <v>50</v>
      </c>
      <c r="F1" s="65" t="s">
        <v>19</v>
      </c>
    </row>
    <row r="2" spans="1:6" x14ac:dyDescent="0.2">
      <c r="A2" s="66"/>
      <c r="B2" s="67" t="s">
        <v>20</v>
      </c>
      <c r="C2" s="67" t="s">
        <v>51</v>
      </c>
      <c r="D2" s="67" t="s">
        <v>52</v>
      </c>
      <c r="E2" s="67"/>
      <c r="F2" s="67"/>
    </row>
    <row r="3" spans="1:6" x14ac:dyDescent="0.2">
      <c r="A3" s="13" t="s">
        <v>53</v>
      </c>
      <c r="B3" s="13">
        <v>0</v>
      </c>
      <c r="C3" s="13">
        <v>0</v>
      </c>
      <c r="D3" s="13">
        <v>0</v>
      </c>
      <c r="E3" s="13">
        <v>0</v>
      </c>
      <c r="F3" s="13" t="s">
        <v>54</v>
      </c>
    </row>
    <row r="4" spans="1:6" x14ac:dyDescent="0.2">
      <c r="A4" s="68"/>
      <c r="B4" s="68">
        <v>9700</v>
      </c>
      <c r="C4" s="68">
        <v>0</v>
      </c>
      <c r="D4" s="68">
        <v>0</v>
      </c>
      <c r="E4" s="68">
        <v>0</v>
      </c>
      <c r="F4" s="68" t="s">
        <v>55</v>
      </c>
    </row>
    <row r="5" spans="1:6" x14ac:dyDescent="0.2">
      <c r="A5" s="68"/>
      <c r="B5" s="68">
        <v>0</v>
      </c>
      <c r="C5" s="68">
        <v>0</v>
      </c>
      <c r="D5" s="68">
        <v>4000</v>
      </c>
      <c r="E5" s="68">
        <v>0</v>
      </c>
      <c r="F5" s="68" t="s">
        <v>56</v>
      </c>
    </row>
    <row r="6" spans="1:6" x14ac:dyDescent="0.2">
      <c r="A6" s="66"/>
      <c r="B6" s="66">
        <f>SUM(B3:B5)</f>
        <v>9700</v>
      </c>
      <c r="C6" s="66">
        <f>SUM(C3:C5)</f>
        <v>0</v>
      </c>
      <c r="D6" s="66">
        <f>SUM(D3:D5)</f>
        <v>4000</v>
      </c>
      <c r="E6" s="66">
        <v>0</v>
      </c>
      <c r="F6" s="66" t="s">
        <v>25</v>
      </c>
    </row>
    <row r="7" spans="1:6" x14ac:dyDescent="0.2">
      <c r="A7" s="13" t="s">
        <v>57</v>
      </c>
      <c r="B7" s="68"/>
      <c r="C7" s="68"/>
      <c r="D7" s="68"/>
      <c r="E7" s="68"/>
      <c r="F7" s="68"/>
    </row>
    <row r="8" spans="1:6" x14ac:dyDescent="0.2">
      <c r="A8" s="68"/>
      <c r="B8" s="68">
        <v>15000</v>
      </c>
      <c r="C8" s="68">
        <v>15000</v>
      </c>
      <c r="D8" s="68">
        <v>15000</v>
      </c>
      <c r="E8" s="68">
        <v>0</v>
      </c>
      <c r="F8" s="68" t="s">
        <v>58</v>
      </c>
    </row>
    <row r="9" spans="1:6" x14ac:dyDescent="0.2">
      <c r="A9" s="68"/>
      <c r="B9" s="68">
        <v>0</v>
      </c>
      <c r="C9" s="68">
        <v>0</v>
      </c>
      <c r="D9" s="68">
        <v>0</v>
      </c>
      <c r="E9" s="68">
        <v>0</v>
      </c>
      <c r="F9" s="68" t="s">
        <v>59</v>
      </c>
    </row>
    <row r="10" spans="1:6" x14ac:dyDescent="0.2">
      <c r="A10" s="68"/>
      <c r="B10" s="68">
        <v>0</v>
      </c>
      <c r="C10" s="68">
        <v>0</v>
      </c>
      <c r="D10" s="68">
        <v>0</v>
      </c>
      <c r="E10" s="68">
        <v>0</v>
      </c>
      <c r="F10" s="68" t="s">
        <v>60</v>
      </c>
    </row>
    <row r="11" spans="1:6" x14ac:dyDescent="0.2">
      <c r="A11" s="68"/>
      <c r="B11" s="68">
        <v>0</v>
      </c>
      <c r="C11" s="68">
        <v>0</v>
      </c>
      <c r="D11" s="68">
        <v>0</v>
      </c>
      <c r="E11" s="68">
        <v>0</v>
      </c>
      <c r="F11" s="68" t="s">
        <v>61</v>
      </c>
    </row>
    <row r="12" spans="1:6" x14ac:dyDescent="0.2">
      <c r="A12" s="66"/>
      <c r="B12" s="66">
        <f>SUM(B8:B11)</f>
        <v>15000</v>
      </c>
      <c r="C12" s="66">
        <f>SUM(C8:C11)</f>
        <v>15000</v>
      </c>
      <c r="D12" s="66">
        <f>SUM(D8:D11)</f>
        <v>15000</v>
      </c>
      <c r="E12" s="66">
        <f>SUM(E8:E11)</f>
        <v>0</v>
      </c>
      <c r="F12" s="66"/>
    </row>
    <row r="14" spans="1:6" x14ac:dyDescent="0.2">
      <c r="A14" s="69" t="s">
        <v>62</v>
      </c>
      <c r="B14" s="70">
        <f>3*15000</f>
        <v>45000</v>
      </c>
      <c r="C14" s="70"/>
      <c r="D14" s="70">
        <f>D12</f>
        <v>15000</v>
      </c>
      <c r="E14" s="70"/>
      <c r="F14" s="71"/>
    </row>
    <row r="15" spans="1:6" x14ac:dyDescent="0.2">
      <c r="A15" s="72" t="s">
        <v>63</v>
      </c>
      <c r="B15">
        <f>B6</f>
        <v>9700</v>
      </c>
      <c r="D15">
        <f>D6</f>
        <v>4000</v>
      </c>
      <c r="F15" s="73"/>
    </row>
    <row r="16" spans="1:6" x14ac:dyDescent="0.2">
      <c r="A16" s="74" t="s">
        <v>64</v>
      </c>
      <c r="B16" s="75">
        <f>B14-B15</f>
        <v>35300</v>
      </c>
      <c r="C16" s="75"/>
      <c r="D16" s="75">
        <f>D14-D15</f>
        <v>11000</v>
      </c>
      <c r="E16" s="75"/>
      <c r="F16" s="76"/>
    </row>
    <row r="29" spans="1:1" x14ac:dyDescent="0.2">
      <c r="A29" s="77"/>
    </row>
  </sheetData>
  <pageMargins left="0.7" right="0.7" top="0.78749999999999998" bottom="0.78749999999999998"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1015</TotalTime>
  <Application>Microsoft Macintosh Excel</Application>
  <DocSecurity>0</DocSecurity>
  <ScaleCrop>false</ScaleCrop>
  <HeadingPairs>
    <vt:vector size="2" baseType="variant">
      <vt:variant>
        <vt:lpstr>Arbeitsblätter</vt:lpstr>
      </vt:variant>
      <vt:variant>
        <vt:i4>20</vt:i4>
      </vt:variant>
    </vt:vector>
  </HeadingPairs>
  <TitlesOfParts>
    <vt:vector size="20" baseType="lpstr">
      <vt:lpstr>Regelsätze</vt:lpstr>
      <vt:lpstr>1 Grundfall</vt:lpstr>
      <vt:lpstr>2 a) Paar</vt:lpstr>
      <vt:lpstr>2 b) Paar</vt:lpstr>
      <vt:lpstr>3 Einzelperson mit Kind</vt:lpstr>
      <vt:lpstr>Tabelle1</vt:lpstr>
      <vt:lpstr>4 a) Paar mit Kind</vt:lpstr>
      <vt:lpstr>4 b) Paar mit Kind</vt:lpstr>
      <vt:lpstr>5 Vermögen</vt:lpstr>
      <vt:lpstr>Antje und Susanne</vt:lpstr>
      <vt:lpstr>Antje und Susann</vt:lpstr>
      <vt:lpstr>Angelina u. Verwandtschaft</vt:lpstr>
      <vt:lpstr>Familie Alkazaz</vt:lpstr>
      <vt:lpstr>Familie Afraid</vt:lpstr>
      <vt:lpstr>Großvater Alkazaz I</vt:lpstr>
      <vt:lpstr>Großvater Alkazaz II</vt:lpstr>
      <vt:lpstr>Frau Kettlich und ihre Kinder</vt:lpstr>
      <vt:lpstr>Familie Al Iryani</vt:lpstr>
      <vt:lpstr>Alina und Kinder</vt:lpstr>
      <vt:lpstr>Frau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Gerlach</dc:creator>
  <dc:description/>
  <cp:lastModifiedBy>Florian Gerlach</cp:lastModifiedBy>
  <cp:revision>7</cp:revision>
  <cp:lastPrinted>2024-06-27T07:36:16Z</cp:lastPrinted>
  <dcterms:created xsi:type="dcterms:W3CDTF">2020-04-20T14:43:01Z</dcterms:created>
  <dcterms:modified xsi:type="dcterms:W3CDTF">2025-11-27T10:20:14Z</dcterms:modified>
  <dc:language>de-DE</dc:language>
</cp:coreProperties>
</file>